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U:\Admin\Executive Assistant\Website\TCP\"/>
    </mc:Choice>
  </mc:AlternateContent>
  <xr:revisionPtr revIDLastSave="0" documentId="13_ncr:1_{556AD2A4-2428-400B-8EFC-646EDB305B3F}" xr6:coauthVersionLast="47" xr6:coauthVersionMax="47" xr10:uidLastSave="{00000000-0000-0000-0000-000000000000}"/>
  <bookViews>
    <workbookView xWindow="-120" yWindow="-120" windowWidth="29040" windowHeight="15720" firstSheet="1" activeTab="1" xr2:uid="{EC7C4C92-7744-4BC8-B3E4-6E2A679DFB82}"/>
  </bookViews>
  <sheets>
    <sheet name="Annual Level for Board" sheetId="10" state="hidden" r:id="rId1"/>
    <sheet name="Biennium Level" sheetId="2" r:id="rId2"/>
    <sheet name="Decade Level" sheetId="8" r:id="rId3"/>
    <sheet name="Staffing Phase-in" sheetId="3" state="hidden" r:id="rId4"/>
    <sheet name="Hard Cost" sheetId="4" state="hidden" r:id="rId5"/>
    <sheet name="Soft Cost" sheetId="5" state="hidden" r:id="rId6"/>
    <sheet name="Total Cash Flow" sheetId="6" state="hidden" r:id="rId7"/>
    <sheet name="Export for Budget (inflated)" sheetId="7" state="hidden" r:id="rId8"/>
    <sheet name="Capital Scenario Comparison" sheetId="9" state="hidden" r:id="rId9"/>
    <sheet name="Quarter Level" sheetId="1"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9" l="1"/>
  <c r="C34" i="9" l="1"/>
  <c r="C47" i="9"/>
  <c r="C41" i="9"/>
  <c r="C26" i="9" l="1"/>
  <c r="C27" i="9" s="1"/>
  <c r="C12" i="9"/>
  <c r="C11" i="9"/>
  <c r="C10" i="9"/>
  <c r="C9" i="9"/>
  <c r="C6" i="9"/>
  <c r="C5" i="9"/>
  <c r="C3" i="9"/>
  <c r="C13" i="9" l="1"/>
  <c r="C7" i="9"/>
  <c r="C14" i="9" l="1" a="1"/>
  <c r="C14" i="9" s="1"/>
  <c r="C16" i="9" s="1"/>
  <c r="Y26" i="5" l="1"/>
  <c r="X26" i="5"/>
  <c r="W26" i="5"/>
  <c r="V26" i="5"/>
  <c r="U26" i="5"/>
  <c r="T26" i="5"/>
  <c r="S26" i="5"/>
  <c r="R26" i="5"/>
  <c r="Q26" i="5"/>
  <c r="P26" i="5"/>
  <c r="O26" i="5"/>
  <c r="N26" i="5"/>
  <c r="M26" i="5"/>
  <c r="L26" i="5"/>
  <c r="K26" i="5"/>
  <c r="J26" i="5"/>
  <c r="I26" i="5"/>
  <c r="H26" i="5"/>
  <c r="G26" i="5"/>
  <c r="C8" i="7"/>
  <c r="C6" i="7"/>
  <c r="D6" i="7" s="1"/>
  <c r="E6" i="7" s="1"/>
  <c r="F6" i="7" s="1"/>
  <c r="G6" i="7" s="1"/>
  <c r="H6" i="7" s="1"/>
  <c r="D8" i="7" l="1"/>
  <c r="D46" i="6"/>
  <c r="I35" i="5"/>
  <c r="G35" i="5"/>
  <c r="AI45" i="6"/>
  <c r="AH43" i="6"/>
  <c r="AG43" i="6"/>
  <c r="AF43" i="6"/>
  <c r="AE43" i="6"/>
  <c r="AD43" i="6"/>
  <c r="AC43" i="6"/>
  <c r="AB43" i="6"/>
  <c r="AA43" i="6"/>
  <c r="Z43" i="6"/>
  <c r="Y43" i="6"/>
  <c r="X43" i="6"/>
  <c r="W43" i="6"/>
  <c r="V43" i="6"/>
  <c r="U43" i="6"/>
  <c r="T43" i="6"/>
  <c r="S43" i="6"/>
  <c r="R43" i="6"/>
  <c r="Q43" i="6"/>
  <c r="P43" i="6"/>
  <c r="O43" i="6"/>
  <c r="N43" i="6"/>
  <c r="M43" i="6"/>
  <c r="L43" i="6"/>
  <c r="AH42" i="6"/>
  <c r="AG42" i="6"/>
  <c r="AF42" i="6"/>
  <c r="AE42" i="6"/>
  <c r="AD42" i="6"/>
  <c r="AC42" i="6"/>
  <c r="AB42" i="6"/>
  <c r="AA42" i="6"/>
  <c r="Z42" i="6"/>
  <c r="Y42" i="6"/>
  <c r="X42" i="6"/>
  <c r="W42" i="6"/>
  <c r="V42" i="6"/>
  <c r="U42" i="6"/>
  <c r="T42" i="6"/>
  <c r="S42" i="6"/>
  <c r="R42" i="6"/>
  <c r="Q42" i="6"/>
  <c r="P42" i="6"/>
  <c r="O42" i="6"/>
  <c r="N42" i="6"/>
  <c r="M42" i="6"/>
  <c r="L42" i="6"/>
  <c r="AH41" i="6"/>
  <c r="AG41" i="6"/>
  <c r="AF41" i="6"/>
  <c r="AE41" i="6"/>
  <c r="AD41" i="6"/>
  <c r="AC41" i="6"/>
  <c r="AB41" i="6"/>
  <c r="AA41" i="6"/>
  <c r="Z41" i="6"/>
  <c r="Y41" i="6"/>
  <c r="X41" i="6"/>
  <c r="W41" i="6"/>
  <c r="V41" i="6"/>
  <c r="U41" i="6"/>
  <c r="T41" i="6"/>
  <c r="S41" i="6"/>
  <c r="R41" i="6"/>
  <c r="Q41" i="6"/>
  <c r="P41" i="6"/>
  <c r="O41" i="6"/>
  <c r="N41" i="6"/>
  <c r="M41" i="6"/>
  <c r="L41" i="6"/>
  <c r="AH40" i="6"/>
  <c r="AG40" i="6"/>
  <c r="AF40" i="6"/>
  <c r="AE40" i="6"/>
  <c r="AD40" i="6"/>
  <c r="AC40" i="6"/>
  <c r="AB40" i="6"/>
  <c r="AA40" i="6"/>
  <c r="Z40" i="6"/>
  <c r="Y40" i="6"/>
  <c r="X40" i="6"/>
  <c r="W40" i="6"/>
  <c r="V40" i="6"/>
  <c r="U40" i="6"/>
  <c r="T40" i="6"/>
  <c r="S40" i="6"/>
  <c r="R40" i="6"/>
  <c r="Q40" i="6"/>
  <c r="P40" i="6"/>
  <c r="O40" i="6"/>
  <c r="N40" i="6"/>
  <c r="M40" i="6"/>
  <c r="L40" i="6"/>
  <c r="AH39" i="6"/>
  <c r="AG39" i="6"/>
  <c r="AF39" i="6"/>
  <c r="AE39" i="6"/>
  <c r="AD39" i="6"/>
  <c r="AC39" i="6"/>
  <c r="AB39" i="6"/>
  <c r="AA39" i="6"/>
  <c r="Z39" i="6"/>
  <c r="Y39" i="6"/>
  <c r="U39" i="6"/>
  <c r="T39" i="6"/>
  <c r="S39" i="6"/>
  <c r="R39" i="6"/>
  <c r="Q39" i="6"/>
  <c r="P39" i="6"/>
  <c r="O39" i="6"/>
  <c r="N39" i="6"/>
  <c r="M39" i="6"/>
  <c r="L39" i="6"/>
  <c r="AH38" i="6"/>
  <c r="AG38" i="6"/>
  <c r="AF38" i="6"/>
  <c r="AE38" i="6"/>
  <c r="AD38" i="6"/>
  <c r="AC38" i="6"/>
  <c r="AB38" i="6"/>
  <c r="AA38" i="6"/>
  <c r="Z38" i="6"/>
  <c r="Y38" i="6"/>
  <c r="X38" i="6"/>
  <c r="W38" i="6"/>
  <c r="V38" i="6"/>
  <c r="U38" i="6"/>
  <c r="T38" i="6"/>
  <c r="S38" i="6"/>
  <c r="R38" i="6"/>
  <c r="Q38" i="6"/>
  <c r="P38" i="6"/>
  <c r="O38" i="6"/>
  <c r="N38" i="6"/>
  <c r="M38" i="6"/>
  <c r="L38" i="6"/>
  <c r="AH37" i="6"/>
  <c r="AG37" i="6"/>
  <c r="AF37" i="6"/>
  <c r="AE37" i="6"/>
  <c r="AD37" i="6"/>
  <c r="AC37" i="6"/>
  <c r="AB37" i="6"/>
  <c r="AA37" i="6"/>
  <c r="Z37" i="6"/>
  <c r="Y37" i="6"/>
  <c r="X37" i="6"/>
  <c r="W37" i="6"/>
  <c r="V37" i="6"/>
  <c r="U37" i="6"/>
  <c r="T37" i="6"/>
  <c r="S37" i="6"/>
  <c r="R37" i="6"/>
  <c r="Q37" i="6"/>
  <c r="P37" i="6"/>
  <c r="O37" i="6"/>
  <c r="N37" i="6"/>
  <c r="M37" i="6"/>
  <c r="L37" i="6"/>
  <c r="AH36" i="6"/>
  <c r="AG36" i="6"/>
  <c r="AF36" i="6"/>
  <c r="AE36" i="6"/>
  <c r="AD36" i="6"/>
  <c r="AC36" i="6"/>
  <c r="AB36" i="6"/>
  <c r="AA36" i="6"/>
  <c r="Z36" i="6"/>
  <c r="Y36" i="6"/>
  <c r="X36" i="6"/>
  <c r="W36" i="6"/>
  <c r="V36" i="6"/>
  <c r="U36" i="6"/>
  <c r="T36" i="6"/>
  <c r="S36" i="6"/>
  <c r="R36" i="6"/>
  <c r="Q36" i="6"/>
  <c r="P36" i="6"/>
  <c r="AH35" i="6"/>
  <c r="AG35" i="6"/>
  <c r="AF35" i="6"/>
  <c r="AE35" i="6"/>
  <c r="AD35" i="6"/>
  <c r="AC35" i="6"/>
  <c r="AB35" i="6"/>
  <c r="AA35" i="6"/>
  <c r="Z35" i="6"/>
  <c r="Y35" i="6"/>
  <c r="X35" i="6"/>
  <c r="W35" i="6"/>
  <c r="V35" i="6"/>
  <c r="U35" i="6"/>
  <c r="T35" i="6"/>
  <c r="S35" i="6"/>
  <c r="R35" i="6"/>
  <c r="Q35" i="6"/>
  <c r="P35" i="6"/>
  <c r="O35" i="6"/>
  <c r="N35" i="6"/>
  <c r="M35" i="6"/>
  <c r="L35" i="6"/>
  <c r="AH34" i="6"/>
  <c r="AG34" i="6"/>
  <c r="AF34" i="6"/>
  <c r="AE34" i="6"/>
  <c r="AD34" i="6"/>
  <c r="AC34" i="6"/>
  <c r="AB34" i="6"/>
  <c r="AA34" i="6"/>
  <c r="Z34" i="6"/>
  <c r="Y34" i="6"/>
  <c r="X34" i="6"/>
  <c r="W34" i="6"/>
  <c r="V34" i="6"/>
  <c r="U34" i="6"/>
  <c r="T34" i="6"/>
  <c r="S34" i="6"/>
  <c r="R34" i="6"/>
  <c r="Q34" i="6"/>
  <c r="P34" i="6"/>
  <c r="O34" i="6"/>
  <c r="N34" i="6"/>
  <c r="M34" i="6"/>
  <c r="L34" i="6"/>
  <c r="K43" i="6"/>
  <c r="K42" i="6"/>
  <c r="K41" i="6"/>
  <c r="K40" i="6"/>
  <c r="K39" i="6"/>
  <c r="K38" i="6"/>
  <c r="K37" i="6"/>
  <c r="K35" i="6"/>
  <c r="K34" i="6"/>
  <c r="J43" i="6"/>
  <c r="J42" i="6"/>
  <c r="J41" i="6"/>
  <c r="J40" i="6"/>
  <c r="J39" i="6"/>
  <c r="J38" i="6"/>
  <c r="J37" i="6"/>
  <c r="J36" i="6"/>
  <c r="J35" i="6"/>
  <c r="J34" i="6"/>
  <c r="I43" i="6"/>
  <c r="I42" i="6"/>
  <c r="I41" i="6"/>
  <c r="I40" i="6"/>
  <c r="I39" i="6"/>
  <c r="I38" i="6"/>
  <c r="I37" i="6"/>
  <c r="I36" i="6"/>
  <c r="I35" i="6"/>
  <c r="I34" i="6"/>
  <c r="H43" i="6"/>
  <c r="H42" i="6"/>
  <c r="H41" i="6"/>
  <c r="H40" i="6"/>
  <c r="H39" i="6"/>
  <c r="H38" i="6"/>
  <c r="H37" i="6"/>
  <c r="H36" i="6"/>
  <c r="H35" i="6"/>
  <c r="H34" i="6"/>
  <c r="G43" i="6"/>
  <c r="G42" i="6"/>
  <c r="G41" i="6"/>
  <c r="G40" i="6"/>
  <c r="G39" i="6"/>
  <c r="G38" i="6"/>
  <c r="G37" i="6"/>
  <c r="G36" i="6"/>
  <c r="G35" i="6"/>
  <c r="G34" i="6"/>
  <c r="F43" i="6"/>
  <c r="F42" i="6"/>
  <c r="F41" i="6"/>
  <c r="F40" i="6"/>
  <c r="F39" i="6"/>
  <c r="F38" i="6"/>
  <c r="F37" i="6"/>
  <c r="F36" i="6"/>
  <c r="F35" i="6"/>
  <c r="F34" i="6"/>
  <c r="E43" i="6"/>
  <c r="E42" i="6"/>
  <c r="E41" i="6"/>
  <c r="E40" i="6"/>
  <c r="E39" i="6"/>
  <c r="E38" i="6"/>
  <c r="E37" i="6"/>
  <c r="E36" i="6"/>
  <c r="E35" i="6"/>
  <c r="E34" i="6"/>
  <c r="D43" i="6"/>
  <c r="D42" i="6"/>
  <c r="D41" i="6"/>
  <c r="D40" i="6"/>
  <c r="D39" i="6"/>
  <c r="D38" i="6"/>
  <c r="D37" i="6"/>
  <c r="D36" i="6"/>
  <c r="D35" i="6"/>
  <c r="C43" i="6"/>
  <c r="C42" i="6"/>
  <c r="C41" i="6"/>
  <c r="C36" i="6"/>
  <c r="C37" i="6"/>
  <c r="C38" i="6"/>
  <c r="C39" i="6"/>
  <c r="C40" i="6"/>
  <c r="C35" i="6"/>
  <c r="D34" i="6"/>
  <c r="C34" i="6"/>
  <c r="B29" i="6"/>
  <c r="C25" i="7" s="1"/>
  <c r="C26" i="6"/>
  <c r="C25" i="6"/>
  <c r="C24" i="6"/>
  <c r="C23" i="6"/>
  <c r="C22" i="6"/>
  <c r="C21" i="6"/>
  <c r="C20" i="6"/>
  <c r="C19" i="6"/>
  <c r="C18" i="6"/>
  <c r="C17" i="6"/>
  <c r="B26" i="6"/>
  <c r="C22" i="7" s="1"/>
  <c r="B25" i="6"/>
  <c r="C21" i="7" s="1"/>
  <c r="B24" i="6"/>
  <c r="C20" i="7" s="1"/>
  <c r="B23" i="6"/>
  <c r="C19" i="7" s="1"/>
  <c r="B22" i="6"/>
  <c r="C18" i="7" s="1"/>
  <c r="B21" i="6"/>
  <c r="C17" i="7" s="1"/>
  <c r="B18" i="6"/>
  <c r="C14" i="7" s="1"/>
  <c r="B19" i="6"/>
  <c r="C15" i="7" s="1"/>
  <c r="B20" i="6"/>
  <c r="AI20" i="6" s="1"/>
  <c r="B17" i="6"/>
  <c r="C13" i="7" s="1"/>
  <c r="AH7" i="6"/>
  <c r="AG7" i="6"/>
  <c r="AF7" i="6"/>
  <c r="AE7" i="6"/>
  <c r="AD7" i="6"/>
  <c r="AC7" i="6"/>
  <c r="AB7" i="6"/>
  <c r="AA7" i="6"/>
  <c r="Z7" i="6"/>
  <c r="Y7" i="6"/>
  <c r="U7" i="6"/>
  <c r="T7" i="6"/>
  <c r="S7" i="6"/>
  <c r="R7" i="6"/>
  <c r="Q7" i="6"/>
  <c r="P7" i="6"/>
  <c r="J7" i="6"/>
  <c r="I7" i="6"/>
  <c r="H7" i="6"/>
  <c r="G7" i="6"/>
  <c r="F7" i="6"/>
  <c r="E7" i="6"/>
  <c r="D7" i="6"/>
  <c r="C7" i="6"/>
  <c r="AH6" i="6"/>
  <c r="AG6" i="6"/>
  <c r="AF6" i="6"/>
  <c r="AE6" i="6"/>
  <c r="AD6" i="6"/>
  <c r="AC6" i="6"/>
  <c r="AB6" i="6"/>
  <c r="AA6" i="6"/>
  <c r="Z6" i="6"/>
  <c r="Y6" i="6"/>
  <c r="U6" i="6"/>
  <c r="T6" i="6"/>
  <c r="S6" i="6"/>
  <c r="R6" i="6"/>
  <c r="Q6" i="6"/>
  <c r="P6" i="6"/>
  <c r="J6" i="6"/>
  <c r="I6" i="6"/>
  <c r="H6" i="6"/>
  <c r="G6" i="6"/>
  <c r="F6" i="6"/>
  <c r="E6" i="6"/>
  <c r="D6" i="6"/>
  <c r="C6" i="6"/>
  <c r="B7" i="6"/>
  <c r="B6" i="6"/>
  <c r="W1" i="6"/>
  <c r="X1" i="6" s="1"/>
  <c r="Y1" i="6" s="1"/>
  <c r="Z1" i="6" s="1"/>
  <c r="AA1" i="6" s="1"/>
  <c r="AB1" i="6" s="1"/>
  <c r="AC1" i="6" s="1"/>
  <c r="AD1" i="6" s="1"/>
  <c r="AE1" i="6" s="1"/>
  <c r="AF1" i="6" s="1"/>
  <c r="AG1" i="6" s="1"/>
  <c r="AH1" i="6" s="1"/>
  <c r="C1" i="6"/>
  <c r="D1" i="6" s="1"/>
  <c r="E1" i="6" s="1"/>
  <c r="F1" i="6" s="1"/>
  <c r="G1" i="6" s="1"/>
  <c r="H1" i="6" s="1"/>
  <c r="I1" i="6" s="1"/>
  <c r="J1" i="6" s="1"/>
  <c r="K1" i="6" s="1"/>
  <c r="L1" i="6" s="1"/>
  <c r="M1" i="6" s="1"/>
  <c r="N1" i="6" s="1"/>
  <c r="O1" i="6" s="1"/>
  <c r="P1" i="6" s="1"/>
  <c r="Q1" i="6" s="1"/>
  <c r="R1" i="6" s="1"/>
  <c r="S1" i="6" s="1"/>
  <c r="T1" i="6" s="1"/>
  <c r="U1" i="6" s="1"/>
  <c r="AE33" i="5"/>
  <c r="AD33" i="5"/>
  <c r="Q33" i="5"/>
  <c r="C33" i="5"/>
  <c r="AM32" i="5"/>
  <c r="AL32" i="5"/>
  <c r="AK32" i="5"/>
  <c r="AJ32" i="5"/>
  <c r="AI32" i="5"/>
  <c r="AH32" i="5"/>
  <c r="AG32" i="5"/>
  <c r="AF32" i="5"/>
  <c r="AE32" i="5"/>
  <c r="AD32" i="5"/>
  <c r="AC32" i="5"/>
  <c r="AB32" i="5"/>
  <c r="AA32" i="5"/>
  <c r="Z32" i="5"/>
  <c r="Y32" i="5"/>
  <c r="X32" i="5"/>
  <c r="W32" i="5"/>
  <c r="V32" i="5"/>
  <c r="U32" i="5"/>
  <c r="T32" i="5"/>
  <c r="S32" i="5"/>
  <c r="R32" i="5"/>
  <c r="Q32" i="5"/>
  <c r="P32" i="5"/>
  <c r="O32" i="5"/>
  <c r="N32" i="5"/>
  <c r="M32" i="5"/>
  <c r="L32" i="5"/>
  <c r="K32" i="5"/>
  <c r="J32" i="5"/>
  <c r="J33" i="5" s="1"/>
  <c r="I32" i="5"/>
  <c r="H32" i="5"/>
  <c r="G32" i="5"/>
  <c r="D32" i="5"/>
  <c r="E32" i="5" s="1"/>
  <c r="F32" i="5" s="1"/>
  <c r="AM31" i="5"/>
  <c r="AL31" i="5"/>
  <c r="AK31" i="5"/>
  <c r="AJ31" i="5"/>
  <c r="AI31" i="5"/>
  <c r="AH31" i="5"/>
  <c r="AG31" i="5"/>
  <c r="AF31" i="5"/>
  <c r="AF33" i="5" s="1"/>
  <c r="AE31" i="5"/>
  <c r="AD31" i="5"/>
  <c r="AC31" i="5"/>
  <c r="AB31" i="5"/>
  <c r="AA31" i="5"/>
  <c r="Z31" i="5"/>
  <c r="Y31" i="5"/>
  <c r="X31" i="5"/>
  <c r="W31" i="5"/>
  <c r="V31" i="5"/>
  <c r="U31" i="5"/>
  <c r="T31" i="5"/>
  <c r="S31" i="5"/>
  <c r="R31" i="5"/>
  <c r="Q31" i="5"/>
  <c r="P31" i="5"/>
  <c r="O31" i="5"/>
  <c r="N31" i="5"/>
  <c r="M31" i="5"/>
  <c r="L31" i="5"/>
  <c r="K31" i="5"/>
  <c r="J31" i="5"/>
  <c r="I31" i="5"/>
  <c r="H31" i="5"/>
  <c r="AN31" i="5" s="1"/>
  <c r="G31" i="5"/>
  <c r="D31" i="5"/>
  <c r="E31" i="5" s="1"/>
  <c r="F31" i="5" s="1"/>
  <c r="AM30" i="5"/>
  <c r="AL30" i="5"/>
  <c r="AK30" i="5"/>
  <c r="AJ30" i="5"/>
  <c r="AI30" i="5"/>
  <c r="AH30" i="5"/>
  <c r="AG30" i="5"/>
  <c r="AG33" i="5" s="1"/>
  <c r="AF30" i="5"/>
  <c r="AE30" i="5"/>
  <c r="AD30" i="5"/>
  <c r="AC30" i="5"/>
  <c r="AB30" i="5"/>
  <c r="AA30" i="5"/>
  <c r="Z30" i="5"/>
  <c r="Y30" i="5"/>
  <c r="X30" i="5"/>
  <c r="W30" i="5"/>
  <c r="V30" i="5"/>
  <c r="U30" i="5"/>
  <c r="T30" i="5"/>
  <c r="S30" i="5"/>
  <c r="R30" i="5"/>
  <c r="Q30" i="5"/>
  <c r="P30" i="5"/>
  <c r="O30" i="5"/>
  <c r="N30" i="5"/>
  <c r="M30" i="5"/>
  <c r="L30" i="5"/>
  <c r="K30" i="5"/>
  <c r="J30" i="5"/>
  <c r="I30" i="5"/>
  <c r="AN30" i="5" s="1"/>
  <c r="H30" i="5"/>
  <c r="G30" i="5"/>
  <c r="D30" i="5"/>
  <c r="E30" i="5" s="1"/>
  <c r="F30" i="5" s="1"/>
  <c r="AM29" i="5"/>
  <c r="AL29" i="5"/>
  <c r="AK29" i="5"/>
  <c r="AJ29" i="5"/>
  <c r="AI29" i="5"/>
  <c r="AH29" i="5"/>
  <c r="AH33" i="5" s="1"/>
  <c r="AG29" i="5"/>
  <c r="AF29" i="5"/>
  <c r="AE29" i="5"/>
  <c r="AD29" i="5"/>
  <c r="AC29" i="5"/>
  <c r="AB29" i="5"/>
  <c r="AA29" i="5"/>
  <c r="Z29" i="5"/>
  <c r="Y29" i="5"/>
  <c r="X29" i="5"/>
  <c r="W29" i="5"/>
  <c r="V29" i="5"/>
  <c r="U29" i="5"/>
  <c r="T29" i="5"/>
  <c r="S29" i="5"/>
  <c r="R29" i="5"/>
  <c r="Q29" i="5"/>
  <c r="P29" i="5"/>
  <c r="O29" i="5"/>
  <c r="N29" i="5"/>
  <c r="M29" i="5"/>
  <c r="L29" i="5"/>
  <c r="K29" i="5"/>
  <c r="J29" i="5"/>
  <c r="AN29" i="5" s="1"/>
  <c r="I29" i="5"/>
  <c r="H29" i="5"/>
  <c r="G29" i="5"/>
  <c r="D29" i="5"/>
  <c r="E29" i="5" s="1"/>
  <c r="F29" i="5" s="1"/>
  <c r="AM27" i="5"/>
  <c r="AL27" i="5"/>
  <c r="AK27" i="5"/>
  <c r="AJ27" i="5"/>
  <c r="AI27" i="5"/>
  <c r="AH27" i="5"/>
  <c r="AG27" i="5"/>
  <c r="AF27" i="5"/>
  <c r="AE27" i="5"/>
  <c r="AD27" i="5"/>
  <c r="AC27" i="5"/>
  <c r="AB27" i="5"/>
  <c r="AA27" i="5"/>
  <c r="Z27" i="5"/>
  <c r="Y27" i="5"/>
  <c r="X27" i="5"/>
  <c r="W27" i="5"/>
  <c r="V27" i="5"/>
  <c r="U27" i="5"/>
  <c r="T27" i="5"/>
  <c r="S27" i="5"/>
  <c r="R27" i="5"/>
  <c r="Q27" i="5"/>
  <c r="P27" i="5"/>
  <c r="O27" i="5"/>
  <c r="N27" i="5"/>
  <c r="M27" i="5"/>
  <c r="L27" i="5"/>
  <c r="K27" i="5"/>
  <c r="AN27" i="5" s="1"/>
  <c r="J27" i="5"/>
  <c r="I27" i="5"/>
  <c r="H27" i="5"/>
  <c r="G27" i="5"/>
  <c r="D27" i="5"/>
  <c r="E27" i="5" s="1"/>
  <c r="F27" i="5" s="1"/>
  <c r="AM26" i="5"/>
  <c r="AL26" i="5"/>
  <c r="AK26" i="5"/>
  <c r="AJ26" i="5"/>
  <c r="AI26" i="5"/>
  <c r="AH26" i="5"/>
  <c r="AG26" i="5"/>
  <c r="AF26" i="5"/>
  <c r="AE26" i="5"/>
  <c r="AD26" i="5"/>
  <c r="AC26" i="5"/>
  <c r="AB26" i="5"/>
  <c r="AA26" i="5"/>
  <c r="Z26" i="5"/>
  <c r="AN26" i="5" s="1"/>
  <c r="E26" i="5"/>
  <c r="F26" i="5" s="1"/>
  <c r="D26" i="5"/>
  <c r="AM25" i="5"/>
  <c r="AL25" i="5"/>
  <c r="AK25" i="5"/>
  <c r="AJ25" i="5"/>
  <c r="AI25" i="5"/>
  <c r="AH25" i="5"/>
  <c r="AG25" i="5"/>
  <c r="AF25" i="5"/>
  <c r="AE25" i="5"/>
  <c r="AD25" i="5"/>
  <c r="AC25" i="5"/>
  <c r="AB25" i="5"/>
  <c r="AA25" i="5"/>
  <c r="Z25" i="5"/>
  <c r="Y25" i="5"/>
  <c r="X25" i="5"/>
  <c r="W25" i="5"/>
  <c r="V25" i="5"/>
  <c r="V33" i="5" s="1"/>
  <c r="U25" i="5"/>
  <c r="U33" i="5" s="1"/>
  <c r="T25" i="5"/>
  <c r="T33" i="5" s="1"/>
  <c r="S25" i="5"/>
  <c r="S33" i="5" s="1"/>
  <c r="R25" i="5"/>
  <c r="R33" i="5" s="1"/>
  <c r="Q25" i="5"/>
  <c r="P25" i="5"/>
  <c r="O25" i="5"/>
  <c r="N25" i="5"/>
  <c r="M25" i="5"/>
  <c r="L25" i="5"/>
  <c r="K25" i="5"/>
  <c r="J25" i="5"/>
  <c r="I25" i="5"/>
  <c r="H25" i="5"/>
  <c r="G25" i="5"/>
  <c r="D25" i="5"/>
  <c r="E25" i="5" s="1"/>
  <c r="F25" i="5" s="1"/>
  <c r="AM24" i="5"/>
  <c r="AL24" i="5"/>
  <c r="AK24" i="5"/>
  <c r="AJ24" i="5"/>
  <c r="AI24" i="5"/>
  <c r="AH24" i="5"/>
  <c r="AG24" i="5"/>
  <c r="AF24" i="5"/>
  <c r="AE24" i="5"/>
  <c r="AD24" i="5"/>
  <c r="AC24" i="5"/>
  <c r="AB24" i="5"/>
  <c r="AA24" i="5"/>
  <c r="Z24" i="5"/>
  <c r="Y24" i="5"/>
  <c r="X24" i="5"/>
  <c r="W24" i="5"/>
  <c r="V24" i="5"/>
  <c r="U24" i="5"/>
  <c r="T24" i="5"/>
  <c r="S24" i="5"/>
  <c r="R24" i="5"/>
  <c r="Q24" i="5"/>
  <c r="P24" i="5"/>
  <c r="O24" i="5"/>
  <c r="N24" i="5"/>
  <c r="M24" i="5"/>
  <c r="L24" i="5"/>
  <c r="K24" i="5"/>
  <c r="J24" i="5"/>
  <c r="I24" i="5"/>
  <c r="H24" i="5"/>
  <c r="G24" i="5"/>
  <c r="D24" i="5"/>
  <c r="E24" i="5" s="1"/>
  <c r="F24" i="5" s="1"/>
  <c r="AM23" i="5"/>
  <c r="AL23" i="5"/>
  <c r="AK23" i="5"/>
  <c r="AJ23" i="5"/>
  <c r="AI23" i="5"/>
  <c r="AH23" i="5"/>
  <c r="AG23" i="5"/>
  <c r="AF23" i="5"/>
  <c r="AE23" i="5"/>
  <c r="AD23" i="5"/>
  <c r="AC23" i="5"/>
  <c r="AB23" i="5"/>
  <c r="AA23" i="5"/>
  <c r="Z23" i="5"/>
  <c r="Y23" i="5"/>
  <c r="X23" i="5"/>
  <c r="W23" i="5"/>
  <c r="V23" i="5"/>
  <c r="U23" i="5"/>
  <c r="T23" i="5"/>
  <c r="S23" i="5"/>
  <c r="R23" i="5"/>
  <c r="Q23" i="5"/>
  <c r="P23" i="5"/>
  <c r="O23" i="5"/>
  <c r="N23" i="5"/>
  <c r="M23" i="5"/>
  <c r="L23" i="5"/>
  <c r="AN23" i="5" s="1"/>
  <c r="K23" i="5"/>
  <c r="J23" i="5"/>
  <c r="I23" i="5"/>
  <c r="H23" i="5"/>
  <c r="H33" i="5" s="1"/>
  <c r="G23" i="5"/>
  <c r="D23" i="5"/>
  <c r="AM22" i="5"/>
  <c r="AL22" i="5"/>
  <c r="AK22" i="5"/>
  <c r="AJ22" i="5"/>
  <c r="AJ33" i="5" s="1"/>
  <c r="AI22" i="5"/>
  <c r="AI33" i="5" s="1"/>
  <c r="AH22" i="5"/>
  <c r="AG22" i="5"/>
  <c r="AF22" i="5"/>
  <c r="AE22" i="5"/>
  <c r="AD22" i="5"/>
  <c r="AC22" i="5"/>
  <c r="AC33" i="5" s="1"/>
  <c r="AB22" i="5"/>
  <c r="AA22" i="5"/>
  <c r="Z22" i="5"/>
  <c r="Y22" i="5"/>
  <c r="X22" i="5"/>
  <c r="X33" i="5" s="1"/>
  <c r="W22" i="5"/>
  <c r="W33" i="5" s="1"/>
  <c r="V22" i="5"/>
  <c r="U22" i="5"/>
  <c r="T22" i="5"/>
  <c r="S22" i="5"/>
  <c r="R22" i="5"/>
  <c r="Q22" i="5"/>
  <c r="P22" i="5"/>
  <c r="O22" i="5"/>
  <c r="N22" i="5"/>
  <c r="M22" i="5"/>
  <c r="L22" i="5"/>
  <c r="L33" i="5" s="1"/>
  <c r="K22" i="5"/>
  <c r="K33" i="5" s="1"/>
  <c r="J22" i="5"/>
  <c r="I22" i="5"/>
  <c r="I33" i="5" s="1"/>
  <c r="H22" i="5"/>
  <c r="G22" i="5"/>
  <c r="F22" i="5"/>
  <c r="E22" i="5"/>
  <c r="D22" i="5"/>
  <c r="C22" i="5"/>
  <c r="AB21" i="5"/>
  <c r="AC21" i="5" s="1"/>
  <c r="AD21" i="5" s="1"/>
  <c r="AE21" i="5" s="1"/>
  <c r="AF21" i="5" s="1"/>
  <c r="AG21" i="5" s="1"/>
  <c r="AH21" i="5" s="1"/>
  <c r="AI21" i="5" s="1"/>
  <c r="AJ21" i="5" s="1"/>
  <c r="AK21" i="5" s="1"/>
  <c r="AL21" i="5" s="1"/>
  <c r="AM21" i="5" s="1"/>
  <c r="W21" i="5"/>
  <c r="X21" i="5" s="1"/>
  <c r="Y21" i="5" s="1"/>
  <c r="Z21" i="5" s="1"/>
  <c r="L16" i="5"/>
  <c r="M16" i="5" s="1"/>
  <c r="AM14" i="5"/>
  <c r="AL14" i="5"/>
  <c r="AK14" i="5"/>
  <c r="AJ14" i="5"/>
  <c r="AI14" i="5"/>
  <c r="AH14" i="5"/>
  <c r="AG14" i="5"/>
  <c r="AF14" i="5"/>
  <c r="AE14" i="5"/>
  <c r="AD14" i="5"/>
  <c r="AC14" i="5"/>
  <c r="AB14" i="5"/>
  <c r="AA14" i="5"/>
  <c r="Z14" i="5"/>
  <c r="Y14" i="5"/>
  <c r="X14" i="5"/>
  <c r="W14" i="5"/>
  <c r="V14" i="5"/>
  <c r="U14" i="5"/>
  <c r="T14" i="5"/>
  <c r="S14" i="5"/>
  <c r="R14" i="5"/>
  <c r="Q14" i="5"/>
  <c r="P14" i="5"/>
  <c r="O14" i="5"/>
  <c r="N14" i="5"/>
  <c r="M14" i="5"/>
  <c r="L14" i="5"/>
  <c r="K14" i="5"/>
  <c r="J14" i="5"/>
  <c r="I14" i="5"/>
  <c r="H14" i="5"/>
  <c r="G14" i="5"/>
  <c r="D14" i="5"/>
  <c r="E14" i="5" s="1"/>
  <c r="C14" i="5"/>
  <c r="AN13" i="5"/>
  <c r="D13" i="5"/>
  <c r="E13" i="5" s="1"/>
  <c r="F13" i="5" s="1"/>
  <c r="AN12" i="5"/>
  <c r="D12" i="5"/>
  <c r="E12" i="5" s="1"/>
  <c r="F12" i="5" s="1"/>
  <c r="AN11" i="5"/>
  <c r="D11" i="5"/>
  <c r="E11" i="5" s="1"/>
  <c r="F11" i="5" s="1"/>
  <c r="AN10" i="5"/>
  <c r="D10" i="5"/>
  <c r="E10" i="5" s="1"/>
  <c r="F10" i="5" s="1"/>
  <c r="E9" i="5"/>
  <c r="AN8" i="5"/>
  <c r="D8" i="5"/>
  <c r="E8" i="5" s="1"/>
  <c r="F8" i="5" s="1"/>
  <c r="AN7" i="5"/>
  <c r="D7" i="5"/>
  <c r="E7" i="5" s="1"/>
  <c r="F7" i="5" s="1"/>
  <c r="AN6" i="5"/>
  <c r="E6" i="5"/>
  <c r="F6" i="5" s="1"/>
  <c r="D6" i="5"/>
  <c r="AN5" i="5"/>
  <c r="D5" i="5"/>
  <c r="E5" i="5" s="1"/>
  <c r="F5" i="5" s="1"/>
  <c r="AN4" i="5"/>
  <c r="D4" i="5"/>
  <c r="E4" i="5" s="1"/>
  <c r="F4" i="5" s="1"/>
  <c r="AN3" i="5"/>
  <c r="F3" i="5"/>
  <c r="E3" i="5"/>
  <c r="D3" i="5"/>
  <c r="C3" i="5"/>
  <c r="AD2" i="5"/>
  <c r="AE2" i="5" s="1"/>
  <c r="AF2" i="5" s="1"/>
  <c r="AG2" i="5" s="1"/>
  <c r="AH2" i="5" s="1"/>
  <c r="AI2" i="5" s="1"/>
  <c r="AJ2" i="5" s="1"/>
  <c r="AK2" i="5" s="1"/>
  <c r="AL2" i="5" s="1"/>
  <c r="AM2" i="5" s="1"/>
  <c r="AB2" i="5"/>
  <c r="AC2" i="5" s="1"/>
  <c r="AM16" i="4"/>
  <c r="U16" i="4"/>
  <c r="AM15" i="4"/>
  <c r="W15" i="4"/>
  <c r="V15" i="4"/>
  <c r="U15" i="4"/>
  <c r="K15" i="4"/>
  <c r="J15" i="4"/>
  <c r="I15" i="4"/>
  <c r="H15" i="4"/>
  <c r="G15" i="4"/>
  <c r="AM14" i="4"/>
  <c r="W14" i="4"/>
  <c r="W16" i="4" s="1"/>
  <c r="V14" i="4"/>
  <c r="V16" i="4" s="1"/>
  <c r="U14" i="4"/>
  <c r="K14" i="4"/>
  <c r="J14" i="4"/>
  <c r="I14" i="4"/>
  <c r="H14" i="4"/>
  <c r="G14" i="4"/>
  <c r="D12" i="4"/>
  <c r="E12" i="4" s="1"/>
  <c r="F12" i="4" s="1"/>
  <c r="D11" i="4"/>
  <c r="E11" i="4" s="1"/>
  <c r="F11" i="4" s="1"/>
  <c r="E10" i="4"/>
  <c r="F10" i="4" s="1"/>
  <c r="D10" i="4"/>
  <c r="E9" i="4"/>
  <c r="F9" i="4" s="1"/>
  <c r="D9" i="4"/>
  <c r="E8" i="4"/>
  <c r="D7" i="4"/>
  <c r="E7" i="4" s="1"/>
  <c r="F7" i="4" s="1"/>
  <c r="D6" i="4"/>
  <c r="E6" i="4" s="1"/>
  <c r="F6" i="4" s="1"/>
  <c r="D5" i="4"/>
  <c r="E5" i="4" s="1"/>
  <c r="F5" i="4" s="1"/>
  <c r="D4" i="4"/>
  <c r="E4" i="4" s="1"/>
  <c r="F4" i="4" s="1"/>
  <c r="D3" i="4"/>
  <c r="E3" i="4" s="1"/>
  <c r="F3" i="4" s="1"/>
  <c r="AB2" i="4"/>
  <c r="AC2" i="4" s="1"/>
  <c r="AD2" i="4" s="1"/>
  <c r="AE2" i="4" s="1"/>
  <c r="AF2" i="4" s="1"/>
  <c r="AG2" i="4" s="1"/>
  <c r="AH2" i="4" s="1"/>
  <c r="AI2" i="4" s="1"/>
  <c r="AJ2" i="4" s="1"/>
  <c r="AK2" i="4" s="1"/>
  <c r="AL2" i="4" s="1"/>
  <c r="AM2" i="4" s="1"/>
  <c r="G17" i="3"/>
  <c r="G18" i="3" s="1"/>
  <c r="G19" i="3" s="1"/>
  <c r="J35" i="5" s="1"/>
  <c r="E46" i="6" s="1"/>
  <c r="F17" i="3"/>
  <c r="F18" i="3" s="1"/>
  <c r="F19" i="3" s="1"/>
  <c r="D17" i="3"/>
  <c r="D18" i="3" s="1"/>
  <c r="D19" i="3" s="1"/>
  <c r="I15" i="3"/>
  <c r="I17" i="3" s="1"/>
  <c r="H15" i="3"/>
  <c r="H17" i="3" s="1"/>
  <c r="H18" i="3" s="1"/>
  <c r="H19" i="3" s="1"/>
  <c r="K35" i="5" s="1"/>
  <c r="F46" i="6" s="1"/>
  <c r="G15" i="3"/>
  <c r="F15" i="3"/>
  <c r="E15" i="3"/>
  <c r="E17" i="3" s="1"/>
  <c r="E18" i="3" s="1"/>
  <c r="E19" i="3" s="1"/>
  <c r="H35" i="5" s="1"/>
  <c r="D15" i="3"/>
  <c r="AI23" i="6" l="1"/>
  <c r="AI22" i="6"/>
  <c r="C16" i="7"/>
  <c r="AI25" i="6"/>
  <c r="AI24" i="6"/>
  <c r="AI26" i="6"/>
  <c r="D40" i="7"/>
  <c r="D31" i="7"/>
  <c r="D32" i="7"/>
  <c r="D33" i="7"/>
  <c r="D34" i="7"/>
  <c r="D35" i="7"/>
  <c r="D36" i="7"/>
  <c r="D37" i="7"/>
  <c r="D38" i="7"/>
  <c r="D45" i="7"/>
  <c r="D39" i="7"/>
  <c r="C23" i="7"/>
  <c r="E8" i="7"/>
  <c r="D22" i="7"/>
  <c r="D16" i="7"/>
  <c r="D21" i="7"/>
  <c r="D15" i="7"/>
  <c r="D20" i="7"/>
  <c r="D14" i="7"/>
  <c r="D19" i="7"/>
  <c r="D13" i="7"/>
  <c r="D18" i="7"/>
  <c r="D17" i="7"/>
  <c r="AN14" i="5"/>
  <c r="I18" i="3"/>
  <c r="I19" i="3" s="1"/>
  <c r="L35" i="5" s="1"/>
  <c r="G46" i="6" s="1"/>
  <c r="AM35" i="5"/>
  <c r="AH46" i="6" s="1"/>
  <c r="Z35" i="5"/>
  <c r="U46" i="6" s="1"/>
  <c r="N35" i="5"/>
  <c r="I46" i="6" s="1"/>
  <c r="AL35" i="5"/>
  <c r="AG46" i="6" s="1"/>
  <c r="Y35" i="5"/>
  <c r="T46" i="6" s="1"/>
  <c r="M35" i="5"/>
  <c r="H46" i="6" s="1"/>
  <c r="AD35" i="5"/>
  <c r="Y46" i="6" s="1"/>
  <c r="AK35" i="5"/>
  <c r="AF46" i="6" s="1"/>
  <c r="X35" i="5"/>
  <c r="S46" i="6" s="1"/>
  <c r="AE35" i="5"/>
  <c r="Z46" i="6" s="1"/>
  <c r="AJ35" i="5"/>
  <c r="AE46" i="6" s="1"/>
  <c r="W35" i="5"/>
  <c r="R46" i="6" s="1"/>
  <c r="AI35" i="5"/>
  <c r="AD46" i="6" s="1"/>
  <c r="V35" i="5"/>
  <c r="Q46" i="6" s="1"/>
  <c r="R35" i="5"/>
  <c r="M46" i="6" s="1"/>
  <c r="Q35" i="5"/>
  <c r="L46" i="6" s="1"/>
  <c r="AH35" i="5"/>
  <c r="AC46" i="6" s="1"/>
  <c r="U35" i="5"/>
  <c r="P46" i="6" s="1"/>
  <c r="AG35" i="5"/>
  <c r="AB46" i="6" s="1"/>
  <c r="T35" i="5"/>
  <c r="O46" i="6" s="1"/>
  <c r="AF35" i="5"/>
  <c r="AA46" i="6" s="1"/>
  <c r="AC35" i="5"/>
  <c r="X46" i="6" s="1"/>
  <c r="S35" i="5"/>
  <c r="N46" i="6" s="1"/>
  <c r="AB35" i="5"/>
  <c r="W46" i="6" s="1"/>
  <c r="P35" i="5"/>
  <c r="K46" i="6" s="1"/>
  <c r="AA35" i="5"/>
  <c r="V46" i="6" s="1"/>
  <c r="O35" i="5"/>
  <c r="J46" i="6" s="1"/>
  <c r="K37" i="5"/>
  <c r="F2" i="6" s="1"/>
  <c r="C29" i="6"/>
  <c r="D25" i="7" s="1"/>
  <c r="C46" i="6"/>
  <c r="D43" i="7" s="1"/>
  <c r="AG37" i="5"/>
  <c r="AB2" i="6" s="1"/>
  <c r="AH37" i="5"/>
  <c r="AC2" i="6" s="1"/>
  <c r="I37" i="5"/>
  <c r="D2" i="6" s="1"/>
  <c r="J37" i="5"/>
  <c r="E2" i="6" s="1"/>
  <c r="AI17" i="6"/>
  <c r="AI34" i="6"/>
  <c r="AI19" i="6"/>
  <c r="AI35" i="6"/>
  <c r="AI38" i="6"/>
  <c r="H44" i="6"/>
  <c r="AI18" i="6"/>
  <c r="AI40" i="6"/>
  <c r="AI37" i="6"/>
  <c r="AI21" i="6"/>
  <c r="AI41" i="6"/>
  <c r="C44" i="6"/>
  <c r="AI42" i="6"/>
  <c r="AI43" i="6"/>
  <c r="C27" i="6"/>
  <c r="U44" i="6"/>
  <c r="AB44" i="6"/>
  <c r="AD44" i="6"/>
  <c r="Q44" i="6"/>
  <c r="AC44" i="6"/>
  <c r="AE44" i="6"/>
  <c r="AF44" i="6"/>
  <c r="P44" i="6"/>
  <c r="R44" i="6"/>
  <c r="J44" i="6"/>
  <c r="AH44" i="6"/>
  <c r="S44" i="6"/>
  <c r="F44" i="6"/>
  <c r="G44" i="6"/>
  <c r="T44" i="6"/>
  <c r="D44" i="6"/>
  <c r="Z44" i="6"/>
  <c r="B27" i="6"/>
  <c r="Y44" i="6"/>
  <c r="E44" i="6"/>
  <c r="AA44" i="6"/>
  <c r="I44" i="6"/>
  <c r="AG44" i="6"/>
  <c r="N16" i="5"/>
  <c r="AG38" i="5"/>
  <c r="L37" i="5"/>
  <c r="G2" i="6" s="1"/>
  <c r="F14" i="5"/>
  <c r="AF37" i="5"/>
  <c r="AA2" i="6" s="1"/>
  <c r="M33" i="5"/>
  <c r="AK33" i="5"/>
  <c r="AK37" i="5" s="1"/>
  <c r="AF2" i="6" s="1"/>
  <c r="O33" i="5"/>
  <c r="AA33" i="5"/>
  <c r="AM33" i="5"/>
  <c r="AM37" i="5" s="1"/>
  <c r="AH2" i="6" s="1"/>
  <c r="P33" i="5"/>
  <c r="AB33" i="5"/>
  <c r="AN22" i="5"/>
  <c r="AN25" i="5"/>
  <c r="D33" i="5"/>
  <c r="E23" i="5"/>
  <c r="AN24" i="5"/>
  <c r="H37" i="5"/>
  <c r="C2" i="6" s="1"/>
  <c r="AN32" i="5"/>
  <c r="G33" i="5"/>
  <c r="Y33" i="5"/>
  <c r="N33" i="5"/>
  <c r="Z33" i="5"/>
  <c r="AL33" i="5"/>
  <c r="AL37" i="5" s="1"/>
  <c r="AG2" i="6" s="1"/>
  <c r="AA9" i="4"/>
  <c r="AN9" i="4" s="1"/>
  <c r="AB9" i="4"/>
  <c r="AC9" i="4"/>
  <c r="AF10" i="4"/>
  <c r="AE10" i="4"/>
  <c r="AD10" i="4"/>
  <c r="AI11" i="4"/>
  <c r="AG11" i="4"/>
  <c r="AH11" i="4"/>
  <c r="AL12" i="4"/>
  <c r="AK12" i="4"/>
  <c r="AJ12" i="4"/>
  <c r="P3" i="4"/>
  <c r="O3" i="4"/>
  <c r="N3" i="4"/>
  <c r="M3" i="4"/>
  <c r="F14" i="4"/>
  <c r="L3" i="4"/>
  <c r="Q4" i="4"/>
  <c r="L36" i="6" s="1"/>
  <c r="L44" i="6" s="1"/>
  <c r="T4" i="4"/>
  <c r="O36" i="6" s="1"/>
  <c r="O44" i="6" s="1"/>
  <c r="S4" i="4"/>
  <c r="N36" i="6" s="1"/>
  <c r="N44" i="6" s="1"/>
  <c r="R4" i="4"/>
  <c r="M36" i="6" s="1"/>
  <c r="M44" i="6" s="1"/>
  <c r="P4" i="4"/>
  <c r="AB5" i="4"/>
  <c r="AA5" i="4"/>
  <c r="Z5" i="4"/>
  <c r="Z6" i="4"/>
  <c r="Y6" i="4"/>
  <c r="X6" i="4"/>
  <c r="AB7" i="4"/>
  <c r="W39" i="6" s="1"/>
  <c r="W44" i="6" s="1"/>
  <c r="AA7" i="4"/>
  <c r="V39" i="6" s="1"/>
  <c r="AC7" i="4"/>
  <c r="X39" i="6" s="1"/>
  <c r="X44" i="6" s="1"/>
  <c r="F37" i="1"/>
  <c r="F36" i="1"/>
  <c r="F35" i="1"/>
  <c r="G36" i="1"/>
  <c r="G35" i="1"/>
  <c r="AI29" i="6" l="1"/>
  <c r="AI46" i="6"/>
  <c r="AI39" i="6"/>
  <c r="V44" i="6"/>
  <c r="AN4" i="4"/>
  <c r="K36" i="6"/>
  <c r="F8" i="7"/>
  <c r="E33" i="7"/>
  <c r="E36" i="7"/>
  <c r="E39" i="7"/>
  <c r="E31" i="7"/>
  <c r="E34" i="7"/>
  <c r="E37" i="7"/>
  <c r="E40" i="7"/>
  <c r="E32" i="7"/>
  <c r="E35" i="7"/>
  <c r="E38" i="7"/>
  <c r="E43" i="7"/>
  <c r="D41" i="7"/>
  <c r="D23" i="7"/>
  <c r="I38" i="5"/>
  <c r="K38" i="5"/>
  <c r="F47" i="6" s="1"/>
  <c r="F48" i="6" s="1"/>
  <c r="F50" i="6" s="1"/>
  <c r="AH38" i="5"/>
  <c r="AJ37" i="5"/>
  <c r="J38" i="5"/>
  <c r="E3" i="6" s="1"/>
  <c r="E4" i="6" s="1"/>
  <c r="E10" i="6" s="1"/>
  <c r="E51" i="6" s="1"/>
  <c r="AH39" i="5"/>
  <c r="AI37" i="5"/>
  <c r="AG39" i="5"/>
  <c r="AB3" i="6"/>
  <c r="AB4" i="6" s="1"/>
  <c r="AB10" i="6" s="1"/>
  <c r="AB47" i="6"/>
  <c r="AB48" i="6" s="1"/>
  <c r="AB50" i="6" s="1"/>
  <c r="AE37" i="5"/>
  <c r="Z2" i="6" s="1"/>
  <c r="F3" i="6"/>
  <c r="F4" i="6" s="1"/>
  <c r="F10" i="6" s="1"/>
  <c r="F11" i="6" s="1"/>
  <c r="F52" i="6" s="1"/>
  <c r="AI27" i="6"/>
  <c r="AN33" i="5"/>
  <c r="AM38" i="5"/>
  <c r="AH47" i="6" s="1"/>
  <c r="AH48" i="6" s="1"/>
  <c r="AH50" i="6" s="1"/>
  <c r="L38" i="5"/>
  <c r="G47" i="6" s="1"/>
  <c r="G48" i="6" s="1"/>
  <c r="G50" i="6" s="1"/>
  <c r="H38" i="5"/>
  <c r="AK38" i="5"/>
  <c r="G37" i="5"/>
  <c r="B2" i="6" s="1"/>
  <c r="M37" i="5"/>
  <c r="H2" i="6" s="1"/>
  <c r="F23" i="5"/>
  <c r="F33" i="5" s="1"/>
  <c r="E33" i="5"/>
  <c r="AF38" i="5"/>
  <c r="AA47" i="6" s="1"/>
  <c r="AA48" i="6" s="1"/>
  <c r="AA50" i="6" s="1"/>
  <c r="O16" i="5"/>
  <c r="AL38" i="5"/>
  <c r="AL39" i="5"/>
  <c r="AA14" i="4"/>
  <c r="V6" i="6" s="1"/>
  <c r="AA15" i="4"/>
  <c r="V7" i="6" s="1"/>
  <c r="P14" i="4"/>
  <c r="K6" i="6" s="1"/>
  <c r="P15" i="4"/>
  <c r="K7" i="6" s="1"/>
  <c r="AB14" i="4"/>
  <c r="AB15" i="4"/>
  <c r="W7" i="6" s="1"/>
  <c r="AN12" i="4"/>
  <c r="AJ14" i="4"/>
  <c r="AJ15" i="4"/>
  <c r="AK14" i="4"/>
  <c r="AK15" i="4"/>
  <c r="R15" i="4"/>
  <c r="M7" i="6" s="1"/>
  <c r="R14" i="4"/>
  <c r="M6" i="6" s="1"/>
  <c r="AL14" i="4"/>
  <c r="AL15" i="4"/>
  <c r="S15" i="4"/>
  <c r="N7" i="6" s="1"/>
  <c r="S14" i="4"/>
  <c r="AH14" i="4"/>
  <c r="AH15" i="4"/>
  <c r="AC14" i="4"/>
  <c r="X6" i="6" s="1"/>
  <c r="AC15" i="4"/>
  <c r="X7" i="6" s="1"/>
  <c r="T15" i="4"/>
  <c r="O7" i="6" s="1"/>
  <c r="T14" i="4"/>
  <c r="O6" i="6" s="1"/>
  <c r="AN11" i="4"/>
  <c r="AG14" i="4"/>
  <c r="AG15" i="4"/>
  <c r="AN7" i="4"/>
  <c r="Q14" i="4"/>
  <c r="L6" i="6" s="1"/>
  <c r="Q15" i="4"/>
  <c r="L7" i="6" s="1"/>
  <c r="AI14" i="4"/>
  <c r="AI15" i="4"/>
  <c r="L15" i="4"/>
  <c r="AN3" i="4"/>
  <c r="L14" i="4"/>
  <c r="L16" i="4" s="1"/>
  <c r="AN6" i="4"/>
  <c r="X14" i="4"/>
  <c r="X16" i="4" s="1"/>
  <c r="X15" i="4"/>
  <c r="AD15" i="4"/>
  <c r="AN10" i="4"/>
  <c r="AD14" i="4"/>
  <c r="AD16" i="4" s="1"/>
  <c r="Y14" i="4"/>
  <c r="Y15" i="4"/>
  <c r="M15" i="4"/>
  <c r="M14" i="4"/>
  <c r="M16" i="4" s="1"/>
  <c r="AE15" i="4"/>
  <c r="AE14" i="4"/>
  <c r="AE16" i="4" s="1"/>
  <c r="N14" i="4"/>
  <c r="N15" i="4"/>
  <c r="AF14" i="4"/>
  <c r="AF15" i="4"/>
  <c r="Z14" i="4"/>
  <c r="AN5" i="4"/>
  <c r="Z15" i="4"/>
  <c r="O14" i="4"/>
  <c r="O15" i="4"/>
  <c r="AB16" i="4" l="1"/>
  <c r="W6" i="6"/>
  <c r="S16" i="4"/>
  <c r="N6" i="6"/>
  <c r="AI6" i="6" s="1"/>
  <c r="AI7" i="6"/>
  <c r="K44" i="6"/>
  <c r="AI36" i="6"/>
  <c r="AI44" i="6" s="1"/>
  <c r="E41" i="7"/>
  <c r="G8" i="7"/>
  <c r="F33" i="7"/>
  <c r="F36" i="7"/>
  <c r="F39" i="7"/>
  <c r="F31" i="7"/>
  <c r="F34" i="7"/>
  <c r="F37" i="7"/>
  <c r="F40" i="7"/>
  <c r="F32" i="7"/>
  <c r="F35" i="7"/>
  <c r="F38" i="7"/>
  <c r="F43" i="7"/>
  <c r="K39" i="5"/>
  <c r="J39" i="5"/>
  <c r="F53" i="6"/>
  <c r="E47" i="6"/>
  <c r="E48" i="6" s="1"/>
  <c r="E50" i="6" s="1"/>
  <c r="D3" i="6"/>
  <c r="D4" i="6" s="1"/>
  <c r="D10" i="6" s="1"/>
  <c r="D47" i="6"/>
  <c r="I39" i="5"/>
  <c r="AB51" i="6"/>
  <c r="AB11" i="6"/>
  <c r="AB12" i="6" s="1"/>
  <c r="AG3" i="6"/>
  <c r="AG4" i="6" s="1"/>
  <c r="AG10" i="6" s="1"/>
  <c r="AG11" i="6" s="1"/>
  <c r="AG52" i="6" s="1"/>
  <c r="AG47" i="6"/>
  <c r="AG48" i="6" s="1"/>
  <c r="AG50" i="6" s="1"/>
  <c r="AE38" i="5"/>
  <c r="AE2" i="6"/>
  <c r="AJ38" i="5"/>
  <c r="AC3" i="6"/>
  <c r="AC4" i="6" s="1"/>
  <c r="AC10" i="6" s="1"/>
  <c r="AC47" i="6"/>
  <c r="AC48" i="6" s="1"/>
  <c r="AC50" i="6" s="1"/>
  <c r="AF3" i="6"/>
  <c r="AF4" i="6" s="1"/>
  <c r="AF10" i="6" s="1"/>
  <c r="AF11" i="6" s="1"/>
  <c r="AF52" i="6" s="1"/>
  <c r="AF47" i="6"/>
  <c r="AF48" i="6" s="1"/>
  <c r="AF50" i="6" s="1"/>
  <c r="AD2" i="6"/>
  <c r="AI38" i="5"/>
  <c r="E11" i="6"/>
  <c r="E52" i="6" s="1"/>
  <c r="H39" i="5"/>
  <c r="C47" i="6"/>
  <c r="AE39" i="5"/>
  <c r="AK39" i="5"/>
  <c r="AM39" i="5"/>
  <c r="AH3" i="6"/>
  <c r="AH4" i="6" s="1"/>
  <c r="AH10" i="6" s="1"/>
  <c r="AF39" i="5"/>
  <c r="AA3" i="6"/>
  <c r="AA4" i="6" s="1"/>
  <c r="AA10" i="6" s="1"/>
  <c r="L39" i="5"/>
  <c r="G3" i="6"/>
  <c r="G4" i="6" s="1"/>
  <c r="G10" i="6" s="1"/>
  <c r="F51" i="6"/>
  <c r="C30" i="6"/>
  <c r="C3" i="6"/>
  <c r="C4" i="6" s="1"/>
  <c r="C10" i="6" s="1"/>
  <c r="F12" i="6"/>
  <c r="M38" i="5"/>
  <c r="G38" i="5"/>
  <c r="N37" i="5"/>
  <c r="I2" i="6" s="1"/>
  <c r="P16" i="5"/>
  <c r="O37" i="5"/>
  <c r="J2" i="6" s="1"/>
  <c r="N16" i="4"/>
  <c r="AJ16" i="4"/>
  <c r="T16" i="4"/>
  <c r="AN15" i="4"/>
  <c r="AN14" i="4"/>
  <c r="AH16" i="4"/>
  <c r="Q16" i="4"/>
  <c r="P16" i="4"/>
  <c r="AL16" i="4"/>
  <c r="AK16" i="4"/>
  <c r="AC16" i="4"/>
  <c r="O16" i="4"/>
  <c r="AI16" i="4"/>
  <c r="Y16" i="4"/>
  <c r="Z16" i="4"/>
  <c r="AF16" i="4"/>
  <c r="AG16" i="4"/>
  <c r="R16" i="4"/>
  <c r="AA16" i="4"/>
  <c r="E53" i="6" l="1"/>
  <c r="AI8" i="6"/>
  <c r="D48" i="6"/>
  <c r="D50" i="6" s="1"/>
  <c r="E44" i="7"/>
  <c r="F45" i="7"/>
  <c r="D44" i="7"/>
  <c r="D46" i="7" s="1"/>
  <c r="C31" i="6"/>
  <c r="D26" i="7"/>
  <c r="D27" i="7" s="1"/>
  <c r="F44" i="7"/>
  <c r="AF53" i="6"/>
  <c r="AG12" i="6"/>
  <c r="F54" i="6"/>
  <c r="AB52" i="6"/>
  <c r="AB53" i="6" s="1"/>
  <c r="AB54" i="6" s="1"/>
  <c r="AG51" i="6"/>
  <c r="F41" i="7"/>
  <c r="H8" i="7"/>
  <c r="G32" i="7"/>
  <c r="G35" i="7"/>
  <c r="G38" i="7"/>
  <c r="G43" i="7"/>
  <c r="G33" i="7"/>
  <c r="G36" i="7"/>
  <c r="G39" i="7"/>
  <c r="G44" i="7"/>
  <c r="G31" i="7"/>
  <c r="G34" i="7"/>
  <c r="G37" i="7"/>
  <c r="G40" i="7"/>
  <c r="G45" i="7"/>
  <c r="D11" i="6"/>
  <c r="D52" i="6" s="1"/>
  <c r="D12" i="6"/>
  <c r="D51" i="6"/>
  <c r="E12" i="6"/>
  <c r="E54" i="6" s="1"/>
  <c r="AF51" i="6"/>
  <c r="Z3" i="6"/>
  <c r="Z4" i="6" s="1"/>
  <c r="Z10" i="6" s="1"/>
  <c r="Z47" i="6"/>
  <c r="Z48" i="6" s="1"/>
  <c r="Z50" i="6" s="1"/>
  <c r="H3" i="6"/>
  <c r="H4" i="6" s="1"/>
  <c r="H10" i="6" s="1"/>
  <c r="H51" i="6" s="1"/>
  <c r="H47" i="6"/>
  <c r="H48" i="6" s="1"/>
  <c r="H50" i="6" s="1"/>
  <c r="AC11" i="6"/>
  <c r="AC52" i="6" s="1"/>
  <c r="AC53" i="6" s="1"/>
  <c r="AC51" i="6"/>
  <c r="AE47" i="6"/>
  <c r="AE48" i="6" s="1"/>
  <c r="AE50" i="6" s="1"/>
  <c r="AJ39" i="5"/>
  <c r="AE3" i="6"/>
  <c r="AE4" i="6" s="1"/>
  <c r="AE10" i="6" s="1"/>
  <c r="AG53" i="6"/>
  <c r="AD47" i="6"/>
  <c r="AD48" i="6" s="1"/>
  <c r="AD50" i="6" s="1"/>
  <c r="AI39" i="5"/>
  <c r="AD3" i="6"/>
  <c r="AD4" i="6" s="1"/>
  <c r="AD10" i="6" s="1"/>
  <c r="C48" i="6"/>
  <c r="AH51" i="6"/>
  <c r="AH11" i="6"/>
  <c r="AH52" i="6" s="1"/>
  <c r="AH53" i="6" s="1"/>
  <c r="AA51" i="6"/>
  <c r="AA11" i="6"/>
  <c r="AA52" i="6" s="1"/>
  <c r="AA53" i="6" s="1"/>
  <c r="AF12" i="6"/>
  <c r="M39" i="5"/>
  <c r="C51" i="6"/>
  <c r="C11" i="6"/>
  <c r="C12" i="6" s="1"/>
  <c r="G51" i="6"/>
  <c r="G11" i="6"/>
  <c r="G52" i="6" s="1"/>
  <c r="G53" i="6" s="1"/>
  <c r="B30" i="6"/>
  <c r="C26" i="7" s="1"/>
  <c r="C27" i="7" s="1"/>
  <c r="C48" i="7" s="1"/>
  <c r="B3" i="6"/>
  <c r="O38" i="5"/>
  <c r="J47" i="6" s="1"/>
  <c r="J48" i="6" s="1"/>
  <c r="J50" i="6" s="1"/>
  <c r="Q16" i="5"/>
  <c r="P37" i="5"/>
  <c r="K2" i="6" s="1"/>
  <c r="N38" i="5"/>
  <c r="G39" i="5"/>
  <c r="AN16" i="4"/>
  <c r="C50" i="6" l="1"/>
  <c r="C53" i="6" s="1"/>
  <c r="C54" i="6" s="1"/>
  <c r="D48" i="7"/>
  <c r="AH12" i="6"/>
  <c r="AH54" i="6" s="1"/>
  <c r="AA12" i="6"/>
  <c r="AF54" i="6"/>
  <c r="AG54" i="6"/>
  <c r="AA54" i="6"/>
  <c r="D53" i="6"/>
  <c r="D54" i="6" s="1"/>
  <c r="E45" i="7"/>
  <c r="E46" i="7" s="1"/>
  <c r="E48" i="7" s="1"/>
  <c r="F46" i="7"/>
  <c r="F48" i="7" s="1"/>
  <c r="G12" i="6"/>
  <c r="G54" i="6" s="1"/>
  <c r="G41" i="7"/>
  <c r="G46" i="7" s="1"/>
  <c r="G48" i="7" s="1"/>
  <c r="H32" i="7"/>
  <c r="H35" i="7"/>
  <c r="H38" i="7"/>
  <c r="H43" i="7"/>
  <c r="H33" i="7"/>
  <c r="H36" i="7"/>
  <c r="H39" i="7"/>
  <c r="H44" i="7"/>
  <c r="H31" i="7"/>
  <c r="H34" i="7"/>
  <c r="H37" i="7"/>
  <c r="H40" i="7"/>
  <c r="H45" i="7"/>
  <c r="H11" i="6"/>
  <c r="H52" i="6" s="1"/>
  <c r="H53" i="6" s="1"/>
  <c r="AE51" i="6"/>
  <c r="AE11" i="6"/>
  <c r="I3" i="6"/>
  <c r="I4" i="6" s="1"/>
  <c r="I10" i="6" s="1"/>
  <c r="I51" i="6" s="1"/>
  <c r="I47" i="6"/>
  <c r="I48" i="6" s="1"/>
  <c r="I50" i="6" s="1"/>
  <c r="Z51" i="6"/>
  <c r="Z11" i="6"/>
  <c r="AD51" i="6"/>
  <c r="AD11" i="6"/>
  <c r="AC12" i="6"/>
  <c r="AC54" i="6" s="1"/>
  <c r="N39" i="5"/>
  <c r="O39" i="5"/>
  <c r="J3" i="6"/>
  <c r="J4" i="6" s="1"/>
  <c r="J10" i="6" s="1"/>
  <c r="B4" i="6"/>
  <c r="B10" i="6" s="1"/>
  <c r="AI30" i="6"/>
  <c r="AI31" i="6" s="1"/>
  <c r="B31" i="6"/>
  <c r="B50" i="6" s="1"/>
  <c r="P38" i="5"/>
  <c r="P39" i="5" s="1"/>
  <c r="R16" i="5"/>
  <c r="H12" i="6" l="1"/>
  <c r="H54" i="6" s="1"/>
  <c r="H41" i="7"/>
  <c r="H46" i="7" s="1"/>
  <c r="H48" i="7" s="1"/>
  <c r="I11" i="6"/>
  <c r="AD52" i="6"/>
  <c r="AD53" i="6" s="1"/>
  <c r="AD12" i="6"/>
  <c r="Z52" i="6"/>
  <c r="Z53" i="6" s="1"/>
  <c r="Z12" i="6"/>
  <c r="K3" i="6"/>
  <c r="K4" i="6" s="1"/>
  <c r="K10" i="6" s="1"/>
  <c r="K51" i="6" s="1"/>
  <c r="K47" i="6"/>
  <c r="AE12" i="6"/>
  <c r="AE52" i="6"/>
  <c r="AE53" i="6" s="1"/>
  <c r="J51" i="6"/>
  <c r="J11" i="6"/>
  <c r="J52" i="6" s="1"/>
  <c r="J53" i="6" s="1"/>
  <c r="B51" i="6"/>
  <c r="B11" i="6"/>
  <c r="B12" i="6" s="1"/>
  <c r="R37" i="5"/>
  <c r="M2" i="6" s="1"/>
  <c r="S16" i="5"/>
  <c r="Q37" i="5"/>
  <c r="L2" i="6" s="1"/>
  <c r="K11" i="6" l="1"/>
  <c r="K52" i="6" s="1"/>
  <c r="I52" i="6"/>
  <c r="I53" i="6" s="1"/>
  <c r="I12" i="6"/>
  <c r="K48" i="6"/>
  <c r="K50" i="6" s="1"/>
  <c r="AE54" i="6"/>
  <c r="Z54" i="6"/>
  <c r="AD54" i="6"/>
  <c r="J12" i="6"/>
  <c r="J54" i="6" s="1"/>
  <c r="Q38" i="5"/>
  <c r="L47" i="6" s="1"/>
  <c r="L48" i="6" s="1"/>
  <c r="L50" i="6" s="1"/>
  <c r="T16" i="5"/>
  <c r="R38" i="5"/>
  <c r="K53" i="6" l="1"/>
  <c r="K12" i="6"/>
  <c r="I54" i="6"/>
  <c r="M3" i="6"/>
  <c r="M4" i="6" s="1"/>
  <c r="M10" i="6" s="1"/>
  <c r="M51" i="6" s="1"/>
  <c r="M47" i="6"/>
  <c r="M48" i="6" s="1"/>
  <c r="M50" i="6" s="1"/>
  <c r="M11" i="6"/>
  <c r="M52" i="6" s="1"/>
  <c r="Q39" i="5"/>
  <c r="L3" i="6"/>
  <c r="R39" i="5"/>
  <c r="B53" i="6"/>
  <c r="U16" i="5"/>
  <c r="T37" i="5"/>
  <c r="O2" i="6" s="1"/>
  <c r="S37" i="5"/>
  <c r="N2" i="6" s="1"/>
  <c r="K54" i="6" l="1"/>
  <c r="M53" i="6"/>
  <c r="M12" i="6"/>
  <c r="L4" i="6"/>
  <c r="L10" i="6" s="1"/>
  <c r="B54" i="6"/>
  <c r="T38" i="5"/>
  <c r="T39" i="5" s="1"/>
  <c r="V16" i="5"/>
  <c r="U37" i="5"/>
  <c r="P2" i="6" s="1"/>
  <c r="S38" i="5"/>
  <c r="S39" i="5" s="1"/>
  <c r="O3" i="6" l="1"/>
  <c r="O4" i="6" s="1"/>
  <c r="O10" i="6" s="1"/>
  <c r="O51" i="6" s="1"/>
  <c r="O47" i="6"/>
  <c r="O48" i="6" s="1"/>
  <c r="O50" i="6" s="1"/>
  <c r="N3" i="6"/>
  <c r="N4" i="6" s="1"/>
  <c r="N10" i="6" s="1"/>
  <c r="N51" i="6" s="1"/>
  <c r="N47" i="6"/>
  <c r="M54" i="6"/>
  <c r="L11" i="6"/>
  <c r="L12" i="6"/>
  <c r="L51" i="6"/>
  <c r="U38" i="5"/>
  <c r="U39" i="5"/>
  <c r="W16" i="5"/>
  <c r="V37" i="5"/>
  <c r="Q2" i="6" s="1"/>
  <c r="O11" i="6" l="1"/>
  <c r="O52" i="6" s="1"/>
  <c r="O53" i="6" s="1"/>
  <c r="N11" i="6"/>
  <c r="N48" i="6"/>
  <c r="N50" i="6" s="1"/>
  <c r="P3" i="6"/>
  <c r="P4" i="6" s="1"/>
  <c r="P10" i="6" s="1"/>
  <c r="P11" i="6" s="1"/>
  <c r="P47" i="6"/>
  <c r="P48" i="6" s="1"/>
  <c r="P50" i="6" s="1"/>
  <c r="L52" i="6"/>
  <c r="N12" i="6"/>
  <c r="N52" i="6"/>
  <c r="N53" i="6" s="1"/>
  <c r="V38" i="5"/>
  <c r="V39" i="5" s="1"/>
  <c r="X16" i="5"/>
  <c r="W37" i="5"/>
  <c r="R2" i="6" s="1"/>
  <c r="O12" i="6" l="1"/>
  <c r="O54" i="6" s="1"/>
  <c r="P52" i="6"/>
  <c r="P53" i="6" s="1"/>
  <c r="P12" i="6"/>
  <c r="P51" i="6"/>
  <c r="Q3" i="6"/>
  <c r="Q4" i="6" s="1"/>
  <c r="Q10" i="6" s="1"/>
  <c r="Q51" i="6" s="1"/>
  <c r="Q47" i="6"/>
  <c r="Q48" i="6" s="1"/>
  <c r="Q50" i="6" s="1"/>
  <c r="N54" i="6"/>
  <c r="L53" i="6"/>
  <c r="W38" i="5"/>
  <c r="R47" i="6" s="1"/>
  <c r="R48" i="6" s="1"/>
  <c r="R50" i="6" s="1"/>
  <c r="Y16" i="5"/>
  <c r="X37" i="5"/>
  <c r="S2" i="6" s="1"/>
  <c r="P54" i="6" l="1"/>
  <c r="Q11" i="6"/>
  <c r="Q12" i="6" s="1"/>
  <c r="W39" i="5"/>
  <c r="R3" i="6"/>
  <c r="L54" i="6"/>
  <c r="Y37" i="5"/>
  <c r="T2" i="6" s="1"/>
  <c r="Z16" i="5"/>
  <c r="X38" i="5"/>
  <c r="S47" i="6" s="1"/>
  <c r="S48" i="6" s="1"/>
  <c r="S50" i="6" s="1"/>
  <c r="Q52" i="6" l="1"/>
  <c r="Q53" i="6" s="1"/>
  <c r="R4" i="6"/>
  <c r="R10" i="6" s="1"/>
  <c r="X39" i="5"/>
  <c r="S3" i="6"/>
  <c r="S4" i="6" s="1"/>
  <c r="S10" i="6" s="1"/>
  <c r="AA16" i="5"/>
  <c r="Z37" i="5"/>
  <c r="U2" i="6" s="1"/>
  <c r="Y38" i="5"/>
  <c r="T3" i="6" l="1"/>
  <c r="T4" i="6" s="1"/>
  <c r="T10" i="6" s="1"/>
  <c r="T11" i="6" s="1"/>
  <c r="T52" i="6" s="1"/>
  <c r="T47" i="6"/>
  <c r="T48" i="6" s="1"/>
  <c r="T50" i="6" s="1"/>
  <c r="Q54" i="6"/>
  <c r="R51" i="6"/>
  <c r="R11" i="6"/>
  <c r="Y39" i="5"/>
  <c r="S51" i="6"/>
  <c r="S11" i="6"/>
  <c r="S52" i="6" s="1"/>
  <c r="S53" i="6" s="1"/>
  <c r="Z38" i="5"/>
  <c r="AB16" i="5"/>
  <c r="AA37" i="5"/>
  <c r="V2" i="6" s="1"/>
  <c r="T51" i="6" l="1"/>
  <c r="S12" i="6"/>
  <c r="S54" i="6" s="1"/>
  <c r="T53" i="6"/>
  <c r="T12" i="6"/>
  <c r="T54" i="6" s="1"/>
  <c r="U3" i="6"/>
  <c r="U4" i="6" s="1"/>
  <c r="U10" i="6" s="1"/>
  <c r="U47" i="6"/>
  <c r="U48" i="6" s="1"/>
  <c r="U50" i="6" s="1"/>
  <c r="Z39" i="5"/>
  <c r="U51" i="6"/>
  <c r="U11" i="6"/>
  <c r="U52" i="6" s="1"/>
  <c r="R12" i="6"/>
  <c r="R52" i="6"/>
  <c r="AA38" i="5"/>
  <c r="AC16" i="5"/>
  <c r="AB37" i="5"/>
  <c r="W2" i="6" s="1"/>
  <c r="U12" i="6" l="1"/>
  <c r="U53" i="6"/>
  <c r="U54" i="6" s="1"/>
  <c r="V3" i="6"/>
  <c r="V4" i="6" s="1"/>
  <c r="V10" i="6" s="1"/>
  <c r="V51" i="6" s="1"/>
  <c r="V47" i="6"/>
  <c r="V48" i="6" s="1"/>
  <c r="V50" i="6" s="1"/>
  <c r="AA39" i="5"/>
  <c r="R53" i="6"/>
  <c r="R54" i="6" s="1"/>
  <c r="AC37" i="5"/>
  <c r="X2" i="6" s="1"/>
  <c r="AD16" i="5"/>
  <c r="AB38" i="5"/>
  <c r="V11" i="6" l="1"/>
  <c r="V12" i="6" s="1"/>
  <c r="W3" i="6"/>
  <c r="W4" i="6" s="1"/>
  <c r="W10" i="6" s="1"/>
  <c r="W11" i="6" s="1"/>
  <c r="W52" i="6" s="1"/>
  <c r="W47" i="6"/>
  <c r="W48" i="6" s="1"/>
  <c r="W50" i="6" s="1"/>
  <c r="W51" i="6"/>
  <c r="AB39" i="5"/>
  <c r="V52" i="6"/>
  <c r="AN16" i="5"/>
  <c r="AC38" i="5"/>
  <c r="W53" i="6" l="1"/>
  <c r="X3" i="6"/>
  <c r="X4" i="6" s="1"/>
  <c r="X10" i="6" s="1"/>
  <c r="X47" i="6"/>
  <c r="X48" i="6" s="1"/>
  <c r="X50" i="6" s="1"/>
  <c r="AC39" i="5"/>
  <c r="X11" i="6"/>
  <c r="X12" i="6" s="1"/>
  <c r="X51" i="6"/>
  <c r="V53" i="6"/>
  <c r="W12" i="6"/>
  <c r="AD37" i="5"/>
  <c r="Y2" i="6" s="1"/>
  <c r="AN35" i="5"/>
  <c r="W54" i="6" l="1"/>
  <c r="AI2" i="6"/>
  <c r="V54" i="6"/>
  <c r="X52" i="6"/>
  <c r="AD38" i="5"/>
  <c r="Y47" i="6" s="1"/>
  <c r="AN37" i="5"/>
  <c r="AD39" i="5" l="1"/>
  <c r="AN39" i="5" s="1"/>
  <c r="Y48" i="6"/>
  <c r="Y50" i="6" s="1"/>
  <c r="AI50" i="6" s="1"/>
  <c r="AI47" i="6"/>
  <c r="AI48" i="6" s="1"/>
  <c r="AN38" i="5"/>
  <c r="Y3" i="6"/>
  <c r="X53" i="6"/>
  <c r="X54" i="6" s="1"/>
  <c r="AI3" i="6" l="1"/>
  <c r="AI4" i="6" s="1"/>
  <c r="AI10" i="6" s="1"/>
  <c r="Y4" i="6"/>
  <c r="Y10" i="6" s="1"/>
  <c r="Y51" i="6" l="1"/>
  <c r="AI51" i="6" s="1"/>
  <c r="Y11" i="6"/>
  <c r="Y52" i="6" l="1"/>
  <c r="AI11" i="6"/>
  <c r="AI12" i="6" s="1"/>
  <c r="Y12" i="6"/>
  <c r="Y53" i="6" l="1"/>
  <c r="AI53" i="6" s="1"/>
  <c r="AI52" i="6"/>
  <c r="Y5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tc={FD55B9BF-4FA9-408A-86B5-1D8D11B25FA8}</author>
    <author>tc={FAB22D65-7F46-4F80-9055-B9B7EAD07681}</author>
  </authors>
  <commentList>
    <comment ref="E42" authorId="0" shapeId="0" xr:uid="{FD55B9BF-4FA9-408A-86B5-1D8D11B25FA8}">
      <text>
        <t xml:space="preserve">[Threaded comment]
Your version of Excel allows you to read this threaded comment; however, any edits to it will get removed if the file is opened in a newer version of Excel. Learn more: https://go.microsoft.com/fwlink/?linkid=870924
Comment:
    This includes system wide requirements </t>
      </text>
    </comment>
    <comment ref="D43" authorId="1" shapeId="0" xr:uid="{FAB22D65-7F46-4F80-9055-B9B7EAD07681}">
      <text>
        <t>[Threaded comment]
Your version of Excel allows you to read this threaded comment; however, any edits to it will get removed if the file is opened in a newer version of Excel. Learn more: https://go.microsoft.com/fwlink/?linkid=870924
Comment:
    this includes real property procurement, consultants and contractors.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tc={D5B148CC-79A0-45FA-A574-F0379C33592C}</author>
    <author>tc={FC86EDC6-E171-4BF1-86E2-F3AF68184B95}</author>
  </authors>
  <commentList>
    <comment ref="D46" authorId="0" shapeId="0" xr:uid="{D5B148CC-79A0-45FA-A574-F0379C33592C}">
      <text>
        <t xml:space="preserve">[Threaded comment]
Your version of Excel allows you to read this threaded comment; however, any edits to it will get removed if the file is opened in a newer version of Excel. Learn more: https://go.microsoft.com/fwlink/?linkid=870924
Comment:
    This includes system wide requirements </t>
      </text>
    </comment>
    <comment ref="C47" authorId="1" shapeId="0" xr:uid="{FC86EDC6-E171-4BF1-86E2-F3AF68184B95}">
      <text>
        <t>[Threaded comment]
Your version of Excel allows you to read this threaded comment; however, any edits to it will get removed if the file is opened in a newer version of Excel. Learn more: https://go.microsoft.com/fwlink/?linkid=870924
Comment:
    this includes real property procurement, consultants and contractors.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tc={20D930E9-BA50-47EA-8433-83318FE9C5F0}</author>
    <author>tc={AF343AB2-7AA8-4D2E-BF67-B9EB0D621D09}</author>
    <author>Andy Baker</author>
  </authors>
  <commentList>
    <comment ref="C4" authorId="0" shapeId="0" xr:uid="{20D930E9-BA50-47EA-8433-83318FE9C5F0}">
      <text>
        <t>[Threaded comment]
Your version of Excel allows you to read this threaded comment; however, any edits to it will get removed if the file is opened in a newer version of Excel. Learn more: https://go.microsoft.com/fwlink/?linkid=870924
Comment:
    Without Contingency / Sales Tax: $197,923,750</t>
      </text>
    </comment>
    <comment ref="C7" authorId="1" shapeId="0" xr:uid="{AF343AB2-7AA8-4D2E-BF67-B9EB0D621D09}">
      <text>
        <t>[Threaded comment]
Your version of Excel allows you to read this threaded comment; however, any edits to it will get removed if the file is opened in a newer version of Excel. Learn more: https://go.microsoft.com/fwlink/?linkid=870924
Comment:
    Was 50000000</t>
      </text>
    </comment>
    <comment ref="A9" authorId="2" shapeId="0" xr:uid="{1C861A82-7126-4338-AA11-9C37F73CDD0E}">
      <text>
        <r>
          <rPr>
            <b/>
            <sz val="9"/>
            <color indexed="81"/>
            <rFont val="Tahoma"/>
            <family val="2"/>
          </rPr>
          <t>Andy Baker:</t>
        </r>
        <r>
          <rPr>
            <sz val="9"/>
            <color indexed="81"/>
            <rFont val="Tahoma"/>
            <family val="2"/>
          </rPr>
          <t xml:space="preserve">
Get more definition on this scope of work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tc={3BA2A0A6-AB99-41C6-A150-346196133671}</author>
    <author>tc={2894E6CB-32DC-419D-9AE9-20B56AD332A8}</author>
    <author>Andy Baker</author>
  </authors>
  <commentList>
    <comment ref="E2" authorId="0" shapeId="0" xr:uid="{3BA2A0A6-AB99-41C6-A150-346196133671}">
      <text>
        <t>[Threaded comment]
Your version of Excel allows you to read this threaded comment; however, any edits to it will get removed if the file is opened in a newer version of Excel. Learn more: https://go.microsoft.com/fwlink/?linkid=870924
Comment:
    Assume 30% Overall Contingency</t>
      </text>
    </comment>
    <comment ref="F2" authorId="1" shapeId="0" xr:uid="{2894E6CB-32DC-419D-9AE9-20B56AD332A8}">
      <text>
        <t>[Threaded comment]
Your version of Excel allows you to read this threaded comment; however, any edits to it will get removed if the file is opened in a newer version of Excel. Learn more: https://go.microsoft.com/fwlink/?linkid=870924
Comment:
    Assume $500k per FTE and 15% total consultant fee</t>
      </text>
    </comment>
    <comment ref="J24" authorId="2" shapeId="0" xr:uid="{39BE9676-DA85-4F20-AB6B-D15F1F8E9350}">
      <text>
        <r>
          <rPr>
            <b/>
            <sz val="9"/>
            <color indexed="81"/>
            <rFont val="Tahoma"/>
            <family val="2"/>
          </rPr>
          <t>Andy Baker:</t>
        </r>
        <r>
          <rPr>
            <sz val="9"/>
            <color indexed="81"/>
            <rFont val="Tahoma"/>
            <family val="2"/>
          </rPr>
          <t xml:space="preserve">
Consider bringing forward if rates can accommodate.</t>
        </r>
      </text>
    </comment>
    <comment ref="G38" authorId="2" shapeId="0" xr:uid="{30B5F502-EBE5-4FE1-8C93-A92A3BE3BFA2}">
      <text>
        <r>
          <rPr>
            <b/>
            <sz val="9"/>
            <color indexed="81"/>
            <rFont val="Tahoma"/>
            <family val="2"/>
          </rPr>
          <t>Andy Baker:</t>
        </r>
        <r>
          <rPr>
            <sz val="9"/>
            <color indexed="81"/>
            <rFont val="Tahoma"/>
            <family val="2"/>
          </rPr>
          <t xml:space="preserve">
Add to Operating Contingency</t>
        </r>
      </text>
    </comment>
    <comment ref="H38" authorId="2" shapeId="0" xr:uid="{50FB0969-1AEA-4E5E-82B2-5D6C59BEC2B0}">
      <text>
        <r>
          <rPr>
            <b/>
            <sz val="9"/>
            <color indexed="81"/>
            <rFont val="Tahoma"/>
            <family val="2"/>
          </rPr>
          <t>Andy Baker:</t>
        </r>
        <r>
          <rPr>
            <sz val="9"/>
            <color indexed="81"/>
            <rFont val="Tahoma"/>
            <family val="2"/>
          </rPr>
          <t xml:space="preserve">
50/50 Operating/Capital Contingency</t>
        </r>
      </text>
    </comment>
    <comment ref="I38" authorId="2" shapeId="0" xr:uid="{1FFB2E0B-A0BF-4358-BAA2-4C825FCBD7EF}">
      <text>
        <r>
          <rPr>
            <b/>
            <sz val="9"/>
            <color indexed="81"/>
            <rFont val="Tahoma"/>
            <family val="2"/>
          </rPr>
          <t>Andy Baker:</t>
        </r>
        <r>
          <rPr>
            <sz val="9"/>
            <color indexed="81"/>
            <rFont val="Tahoma"/>
            <family val="2"/>
          </rPr>
          <t xml:space="preserve">
Capital Contingency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<sst xmlns="http://schemas.openxmlformats.org/spreadsheetml/2006/main" count="624" uniqueCount="340">
  <si>
    <t>2027-2028</t>
  </si>
  <si>
    <t>2029-2030</t>
  </si>
  <si>
    <t>2031-2032</t>
  </si>
  <si>
    <t>2033-2034</t>
  </si>
  <si>
    <t>2035-2036</t>
  </si>
  <si>
    <t>2037-2038</t>
  </si>
  <si>
    <t>2039-2040</t>
  </si>
  <si>
    <t>2041-2042</t>
  </si>
  <si>
    <t>2043-2044</t>
  </si>
  <si>
    <t>2045-2046</t>
  </si>
  <si>
    <t>2047-2048</t>
  </si>
  <si>
    <t>2049-2050</t>
  </si>
  <si>
    <t>2051-2052</t>
  </si>
  <si>
    <t>2053-2054</t>
  </si>
  <si>
    <t>2055-2056</t>
  </si>
  <si>
    <t>Begin Construction</t>
  </si>
  <si>
    <t>Begin using Tacoma Water</t>
  </si>
  <si>
    <t>Projects</t>
  </si>
  <si>
    <t>▪Planning</t>
  </si>
  <si>
    <t>☑Planning
▪Franchise &amp; ROW</t>
  </si>
  <si>
    <t>Franchise &amp; ROW</t>
  </si>
  <si>
    <t>☑Planning</t>
  </si>
  <si>
    <t>Central Segment</t>
  </si>
  <si>
    <t>☑Presdesign
☑30% Design</t>
  </si>
  <si>
    <r>
      <rPr>
        <sz val="16"/>
        <color theme="1"/>
        <rFont val="Aptos Narrow"/>
        <family val="2"/>
      </rPr>
      <t>☑</t>
    </r>
    <r>
      <rPr>
        <sz val="16"/>
        <color theme="1"/>
        <rFont val="Aptos Narrow"/>
        <family val="2"/>
        <scheme val="minor"/>
      </rPr>
      <t>Final Design
▪Begin Constr.</t>
    </r>
  </si>
  <si>
    <t>Construction</t>
  </si>
  <si>
    <t>☑Construction Complete</t>
  </si>
  <si>
    <t>Schedule float</t>
  </si>
  <si>
    <t>North Segment</t>
  </si>
  <si>
    <t>☑Predesign</t>
  </si>
  <si>
    <t>☑30% Design 
☑60% Design</t>
  </si>
  <si>
    <t>☑Final Design</t>
  </si>
  <si>
    <t>▪Begin Constr.</t>
  </si>
  <si>
    <t>Parallel BIP</t>
  </si>
  <si>
    <t>Booster Pump Station</t>
  </si>
  <si>
    <t>Storage / Facilities</t>
  </si>
  <si>
    <t>Eastside Connections</t>
  </si>
  <si>
    <t>BKR Bellevue</t>
  </si>
  <si>
    <t>BKR Kirkland/Redmond</t>
  </si>
  <si>
    <t>BKR Kirkland/Redmond North</t>
  </si>
  <si>
    <t>Wheeling</t>
  </si>
  <si>
    <t>Legislation (if needed)</t>
  </si>
  <si>
    <t>South Segment</t>
  </si>
  <si>
    <t>Lake Tapps Phase 1</t>
  </si>
  <si>
    <t>Lake Tapps Phase 2</t>
  </si>
  <si>
    <t>New Staff Resources</t>
  </si>
  <si>
    <t>▪Planning Mgr (Fall 24)</t>
  </si>
  <si>
    <t>▪Design Section Mgr</t>
  </si>
  <si>
    <t>▪Constr. Mgr</t>
  </si>
  <si>
    <t>▪Project Director</t>
  </si>
  <si>
    <t>▪Program Section Mgr</t>
  </si>
  <si>
    <t>▪O&amp;M Mgr (25%)</t>
  </si>
  <si>
    <t>▪Support Engineer</t>
  </si>
  <si>
    <t>▪Govt Relations / Comms</t>
  </si>
  <si>
    <t>▪Project Controls</t>
  </si>
  <si>
    <t>▪Admin &amp; Support</t>
  </si>
  <si>
    <t>Consulting Resources</t>
  </si>
  <si>
    <t>Support Services Consultant (owner's rep)</t>
  </si>
  <si>
    <t>Franchise &amp; ROW Consultant</t>
  </si>
  <si>
    <t>Central Design Consultant</t>
  </si>
  <si>
    <t>Central Construction Contract</t>
  </si>
  <si>
    <t>North Design Consultant</t>
  </si>
  <si>
    <t>Products &amp; Outcomes</t>
  </si>
  <si>
    <t>Project Funding Plan</t>
  </si>
  <si>
    <t>Project Baseline</t>
  </si>
  <si>
    <t>Basis of Design</t>
  </si>
  <si>
    <t>Project Execution Plan</t>
  </si>
  <si>
    <t>Project Requirements</t>
  </si>
  <si>
    <t>2029 Decision-point on Wheeling</t>
  </si>
  <si>
    <t>Procurement Managment Plan</t>
  </si>
  <si>
    <t>Risk Managment Plan</t>
  </si>
  <si>
    <t>Stakeholder Management Plan</t>
  </si>
  <si>
    <t>System Operational Plan</t>
  </si>
  <si>
    <t>Contract SEPA</t>
  </si>
  <si>
    <t>TSP SEPA</t>
  </si>
  <si>
    <t>Central SEPA</t>
  </si>
  <si>
    <t>2025-2029</t>
  </si>
  <si>
    <t>2030-2039</t>
  </si>
  <si>
    <t>2040-2049</t>
  </si>
  <si>
    <t>2050-2059</t>
  </si>
  <si>
    <t>2060-2069</t>
  </si>
  <si>
    <t>2070-2079</t>
  </si>
  <si>
    <t>2080-2089</t>
  </si>
  <si>
    <t>2090-2099</t>
  </si>
  <si>
    <t>Begin using Lake Tapps</t>
  </si>
  <si>
    <t>☑Decadal Planning</t>
  </si>
  <si>
    <t>☑Planning
☑Design</t>
  </si>
  <si>
    <t>☑Construction</t>
  </si>
  <si>
    <t>☑Planning
▪Design</t>
  </si>
  <si>
    <t>☑Design
☑Construction</t>
  </si>
  <si>
    <t>☑ Design</t>
  </si>
  <si>
    <t>☑Planning
☑Legislation</t>
  </si>
  <si>
    <t>TCP Staffing Plan (2024 $)</t>
  </si>
  <si>
    <t>Positions</t>
  </si>
  <si>
    <t>Direct $</t>
  </si>
  <si>
    <t>Planning Mgr</t>
  </si>
  <si>
    <t>Project Director</t>
  </si>
  <si>
    <t>Support Engineer</t>
  </si>
  <si>
    <t>Design Section Mgr</t>
  </si>
  <si>
    <t>Program Section Mgr</t>
  </si>
  <si>
    <t>Govt Relations / Comms</t>
  </si>
  <si>
    <t>Project Controls</t>
  </si>
  <si>
    <t>Admin &amp; Support</t>
  </si>
  <si>
    <t>Construction Mgr</t>
  </si>
  <si>
    <t>O&amp;M Mgr</t>
  </si>
  <si>
    <t>Cumulative New FTE</t>
  </si>
  <si>
    <t>Average Direct Cost</t>
  </si>
  <si>
    <t>Direct Cost</t>
  </si>
  <si>
    <t>Fully Loaded (1.24x)</t>
  </si>
  <si>
    <t>Tacoma Cascade Pipeline Budget Sheet</t>
  </si>
  <si>
    <t>Level 1 Work Package</t>
  </si>
  <si>
    <t>Schedule</t>
  </si>
  <si>
    <t>2022 Estimate</t>
  </si>
  <si>
    <t>2024 Estimate (+10%)</t>
  </si>
  <si>
    <t>2024 Adjusted (70%)</t>
  </si>
  <si>
    <t>2024 Hard Cost@65%</t>
  </si>
  <si>
    <t>Total</t>
  </si>
  <si>
    <t>Central - 66"</t>
  </si>
  <si>
    <t>Online by 2035</t>
  </si>
  <si>
    <t>North - 66"</t>
  </si>
  <si>
    <t>Online by 2038</t>
  </si>
  <si>
    <t>Online by 2048</t>
  </si>
  <si>
    <t>Online by 2045</t>
  </si>
  <si>
    <t>Storage/Facilities</t>
  </si>
  <si>
    <t>Online by 2051</t>
  </si>
  <si>
    <t>Online by 2054</t>
  </si>
  <si>
    <t>BKR Kirkland/Redmond 2</t>
  </si>
  <si>
    <t>Online by 2057</t>
  </si>
  <si>
    <t>Total Hard Cost w/o Reserves</t>
  </si>
  <si>
    <t>Total Hard Cost Reserves</t>
  </si>
  <si>
    <t>Total Construction Budget</t>
  </si>
  <si>
    <t xml:space="preserve">Source: </t>
  </si>
  <si>
    <t>CWA - Cost Estimate TM Tables_FINAL w Scenarios 021423.xlsx</t>
  </si>
  <si>
    <t>2022 Dollars</t>
  </si>
  <si>
    <t>2024 Dollars</t>
  </si>
  <si>
    <t>2024 Adjusted</t>
  </si>
  <si>
    <t>Consultant FTE</t>
  </si>
  <si>
    <t>TCP Program Management</t>
  </si>
  <si>
    <t>Central</t>
  </si>
  <si>
    <t>North</t>
  </si>
  <si>
    <t>Cascade FTE</t>
  </si>
  <si>
    <t>Project Reserves</t>
  </si>
  <si>
    <t>Grand Total</t>
  </si>
  <si>
    <t>Total Cascade FTE</t>
  </si>
  <si>
    <t>Total Soft Cost w/o reserves</t>
  </si>
  <si>
    <t>Total Soft Cost Reserves</t>
  </si>
  <si>
    <t>Total Soft Cost Budget</t>
  </si>
  <si>
    <t>Year</t>
  </si>
  <si>
    <t>Soft Cost w/o reserves</t>
  </si>
  <si>
    <t>Soft Cost Reserves</t>
  </si>
  <si>
    <t>Subtotal Soft Cost Budgtet</t>
  </si>
  <si>
    <t>Hard Cost w/o Reserves</t>
  </si>
  <si>
    <t>Hard Cost Reserves</t>
  </si>
  <si>
    <t>Subtotal Construction Budget</t>
  </si>
  <si>
    <t>Total Budget w/o Risk Reserves</t>
  </si>
  <si>
    <t>Risk Reserves (30%)</t>
  </si>
  <si>
    <t>Total Budget</t>
  </si>
  <si>
    <t>Export for Rate Model</t>
  </si>
  <si>
    <t>Operating</t>
  </si>
  <si>
    <t>Professional Services</t>
  </si>
  <si>
    <t>Subtotal - Professional Svcs</t>
  </si>
  <si>
    <t>Salaries</t>
  </si>
  <si>
    <t>TCP Operating Contingency</t>
  </si>
  <si>
    <t>Capital (Soft &amp; Hard Costs)</t>
  </si>
  <si>
    <t>Subtotal - Work Packages</t>
  </si>
  <si>
    <t>Addition to Capital Contingency</t>
  </si>
  <si>
    <t>Operating + Capital</t>
  </si>
  <si>
    <t>Budget w/o Risk Reserve</t>
  </si>
  <si>
    <t>Addition to Capital Contingency (Risk)</t>
  </si>
  <si>
    <t>Cost reserves for hard and soft cost, aka contingency reserves are for cost reserved for known unknowns such as variances on linear foot of pipe or project  elements that are less defined at the time of baseine project cost and schedule</t>
  </si>
  <si>
    <t>Risk Reserves aka Management Reserves are reserves for cost incured outside of project team control including external imposed conditions not known to the project team at the time of baseline project cost and schedule.</t>
  </si>
  <si>
    <t>TCP Budget (Escalated to Year-of-Expenditure $)</t>
  </si>
  <si>
    <t>CPI</t>
  </si>
  <si>
    <t>Cumulative Inflation Multiplier</t>
  </si>
  <si>
    <t>Construction Cost Inflation</t>
  </si>
  <si>
    <t>Construction Cost Inflation Multiplier</t>
  </si>
  <si>
    <t>Total Operating</t>
  </si>
  <si>
    <t>TCP Capital Contingency</t>
  </si>
  <si>
    <t>TCP Risk Reserve</t>
  </si>
  <si>
    <t>Total Capital</t>
  </si>
  <si>
    <t>Project Total (Operating &amp; Capital)</t>
  </si>
  <si>
    <t>Check</t>
  </si>
  <si>
    <t>Total Tacoma Connection Capital Costs (2024$)</t>
  </si>
  <si>
    <t>Initial System Planning, Capital Portion</t>
  </si>
  <si>
    <t>Hard Costs</t>
  </si>
  <si>
    <t>Central (2030-2034)</t>
  </si>
  <si>
    <t>North (2034-2038)</t>
  </si>
  <si>
    <t>Hard Cost Contingency (25%)</t>
  </si>
  <si>
    <t>Soft Costs</t>
  </si>
  <si>
    <t>TCP Program Management, 2027-2039</t>
  </si>
  <si>
    <t>Central (2027-2038)</t>
  </si>
  <si>
    <t>North (2029-2039)</t>
  </si>
  <si>
    <t>Staffing (2027-2039)</t>
  </si>
  <si>
    <t>Soft Cost Contingency (10%)</t>
  </si>
  <si>
    <t>Project Reserve (30%)</t>
  </si>
  <si>
    <t>Total Lake Tapps Treatment Costs (2022$)</t>
  </si>
  <si>
    <t>LTP - North Segment</t>
  </si>
  <si>
    <t>LTP - Central Segment</t>
  </si>
  <si>
    <t>LTP - South Segment</t>
  </si>
  <si>
    <t>Storage Reservoir</t>
  </si>
  <si>
    <t>Lake Tapps Treatment Plant (Phase 1) w. Ozone</t>
  </si>
  <si>
    <t>Subtotal</t>
  </si>
  <si>
    <t>Escalated to 2024$ by 10% (consistent with Henry's estimate above)</t>
  </si>
  <si>
    <t>Payments to Seattle for Supply</t>
  </si>
  <si>
    <t>Base Scenario</t>
  </si>
  <si>
    <t>Cascade Block Payments</t>
  </si>
  <si>
    <t>Additional Block Payments</t>
  </si>
  <si>
    <t>TPU Smoothed Scenario</t>
  </si>
  <si>
    <t>Cascade Block Payments (2025-2041)</t>
  </si>
  <si>
    <t>Transition Payments (2026-2033)</t>
  </si>
  <si>
    <t>SPU Smoothed Scenario</t>
  </si>
  <si>
    <t>Difference</t>
  </si>
  <si>
    <t>Transmission Project Workplan</t>
  </si>
  <si>
    <t>Major</t>
  </si>
  <si>
    <t>(days)</t>
  </si>
  <si>
    <t>(months)</t>
  </si>
  <si>
    <t>Dependencies</t>
  </si>
  <si>
    <t>#</t>
  </si>
  <si>
    <t>Task</t>
  </si>
  <si>
    <t>Subtask</t>
  </si>
  <si>
    <t>Duration</t>
  </si>
  <si>
    <t>Start</t>
  </si>
  <si>
    <t>Stop</t>
  </si>
  <si>
    <t>Resources</t>
  </si>
  <si>
    <t>Notes</t>
  </si>
  <si>
    <t>Q1 2024</t>
  </si>
  <si>
    <t>Q2 2024</t>
  </si>
  <si>
    <t>Q3 2024</t>
  </si>
  <si>
    <t>Q4 2024</t>
  </si>
  <si>
    <t>Q1 2025</t>
  </si>
  <si>
    <t>Q2 2025</t>
  </si>
  <si>
    <t>Q3 2025</t>
  </si>
  <si>
    <t>Q4 2025</t>
  </si>
  <si>
    <t>Q1 2026</t>
  </si>
  <si>
    <t>Q2 2026</t>
  </si>
  <si>
    <t>Q3 2026</t>
  </si>
  <si>
    <t>Q4 2026</t>
  </si>
  <si>
    <t>Q1 2027</t>
  </si>
  <si>
    <t>Q2 2027</t>
  </si>
  <si>
    <t>Q3 2027</t>
  </si>
  <si>
    <t>Q4 2027</t>
  </si>
  <si>
    <t>Q1 2028</t>
  </si>
  <si>
    <t>Q2 2028</t>
  </si>
  <si>
    <t>Q3 2028</t>
  </si>
  <si>
    <t>Q4 2028</t>
  </si>
  <si>
    <t>Q1 2029</t>
  </si>
  <si>
    <t>Q2 2029</t>
  </si>
  <si>
    <t>Q3 2029</t>
  </si>
  <si>
    <t>Q4 2029</t>
  </si>
  <si>
    <t>Project Planning</t>
  </si>
  <si>
    <t>Member Distribution System Requirements</t>
  </si>
  <si>
    <t>Do we know enough today, or is there more information we need in order to do the Optimization analysis?
Working assumption: current volumes &amp; demands?
To what extent do we need member buy-off or consultation on the assumptions we use in our TSP?</t>
  </si>
  <si>
    <t xml:space="preserve"> </t>
  </si>
  <si>
    <t>1.1.1</t>
  </si>
  <si>
    <t>Policy regarding delivery points</t>
  </si>
  <si>
    <t>Already exists - review if needs any updates</t>
  </si>
  <si>
    <t>Transmission Project Requirements</t>
  </si>
  <si>
    <t>Planning Manager</t>
  </si>
  <si>
    <t>1.2.1</t>
  </si>
  <si>
    <t>Total Volumes</t>
  </si>
  <si>
    <t>Planning Manager + Economists</t>
  </si>
  <si>
    <t>1.2.2</t>
  </si>
  <si>
    <t>Peak Demands</t>
  </si>
  <si>
    <t>1.2.3</t>
  </si>
  <si>
    <t>Economic argument for peak conservation</t>
  </si>
  <si>
    <t>1.2.4</t>
  </si>
  <si>
    <t>Rate structure related to peaking</t>
  </si>
  <si>
    <t>1.2.5</t>
  </si>
  <si>
    <t>Policy regarding independent supply for peak</t>
  </si>
  <si>
    <t>Alignment &amp; Siting</t>
  </si>
  <si>
    <t>FA 1.2End</t>
  </si>
  <si>
    <t>Planning Manager + Consultants</t>
  </si>
  <si>
    <t>How much of 1.2 is necessary to complete before start?</t>
  </si>
  <si>
    <t>1.3.1</t>
  </si>
  <si>
    <t>Optimization - How many pipes?</t>
  </si>
  <si>
    <t>1.3.2</t>
  </si>
  <si>
    <t>Optimization - Other?</t>
  </si>
  <si>
    <t>1.3.3</t>
  </si>
  <si>
    <t>Terminal storage?</t>
  </si>
  <si>
    <t>1.3.4</t>
  </si>
  <si>
    <t>Transmission &amp; Supply Plan</t>
  </si>
  <si>
    <t>Get the Planning Manager hired</t>
  </si>
  <si>
    <t>What's the earliest we could start?</t>
  </si>
  <si>
    <t>RFQ Development</t>
  </si>
  <si>
    <t xml:space="preserve">How much can we start before </t>
  </si>
  <si>
    <t>TSP Development</t>
  </si>
  <si>
    <t>This includes pre-design for Central &amp; North segments</t>
  </si>
  <si>
    <t>Alternative: miniTSP update if forced to by the BIP</t>
  </si>
  <si>
    <t>Voluntary Decision by SPU / Mayor</t>
  </si>
  <si>
    <t>None</t>
  </si>
  <si>
    <t>Legislative Strategy</t>
  </si>
  <si>
    <t>Lobbyist, Consultant Team, Economist, Legal</t>
  </si>
  <si>
    <t>Assume it takes 2 full cycles to pass. Resiliency (climate, earthquakes, etc.) is the core strategy, economic efficiency and benefit secondary</t>
  </si>
  <si>
    <t>Technical Evaluation</t>
  </si>
  <si>
    <t>2.3.1</t>
  </si>
  <si>
    <t>Location</t>
  </si>
  <si>
    <t>2.3.2</t>
  </si>
  <si>
    <t>Chemistry</t>
  </si>
  <si>
    <t>2.3.3</t>
  </si>
  <si>
    <t>Flow</t>
  </si>
  <si>
    <t>2.3.4</t>
  </si>
  <si>
    <t>Pressure</t>
  </si>
  <si>
    <t>Real Property</t>
  </si>
  <si>
    <t>King County Franchise</t>
  </si>
  <si>
    <t>Consultant / Legal / Planning Mgr</t>
  </si>
  <si>
    <t>SPU</t>
  </si>
  <si>
    <t>Private</t>
  </si>
  <si>
    <t>SEPA</t>
  </si>
  <si>
    <t>SA 1.3Start</t>
  </si>
  <si>
    <t>FA 1.3End</t>
  </si>
  <si>
    <t>Permitting</t>
  </si>
  <si>
    <t>SA 6 Start</t>
  </si>
  <si>
    <t>Planning</t>
  </si>
  <si>
    <t>Design</t>
  </si>
  <si>
    <t>Facilities Plan</t>
  </si>
  <si>
    <t>Facilities Plan Consultant</t>
  </si>
  <si>
    <t>OVERALL PROJECT</t>
  </si>
  <si>
    <t>Tacoma-Cascade Pipeline (TCP) Project:  Biennium-Level Work Plan</t>
  </si>
  <si>
    <t>Water Supply Project:  Decade-Level Work Plan</t>
  </si>
  <si>
    <t>Tacoma-Cascade Pipeline (TCP) Project:  Annual-Level Work Plan Through 2030</t>
  </si>
  <si>
    <t xml:space="preserve">Overall TCP </t>
  </si>
  <si>
    <t>TCP Central Segment</t>
  </si>
  <si>
    <t>TCP North Segment</t>
  </si>
  <si>
    <r>
      <rPr>
        <sz val="16"/>
        <color theme="1"/>
        <rFont val="Aptos Narrow"/>
        <family val="2"/>
      </rPr>
      <t>☑</t>
    </r>
    <r>
      <rPr>
        <sz val="16"/>
        <color theme="1"/>
        <rFont val="Aptos Narrow"/>
        <family val="2"/>
        <scheme val="minor"/>
      </rPr>
      <t>Final Design</t>
    </r>
  </si>
  <si>
    <t>☑30% Design</t>
  </si>
  <si>
    <t>☑Presdesign</t>
  </si>
  <si>
    <t>☑60% Design</t>
  </si>
  <si>
    <t xml:space="preserve">☑30% Design </t>
  </si>
  <si>
    <t>TCP Other (e.g. BKR)</t>
  </si>
  <si>
    <t>▪SEPA Review</t>
  </si>
  <si>
    <t xml:space="preserve">Operations &amp; Flow Allocation </t>
  </si>
  <si>
    <t>Program and Engineering Support Services  (owner's rep)</t>
  </si>
  <si>
    <t xml:space="preserve">Facilities Plan </t>
  </si>
  <si>
    <t xml:space="preserve">Franchise &amp; ROW </t>
  </si>
  <si>
    <t>Central Pipeline Construction Contract</t>
  </si>
  <si>
    <t>North Pipeline Construction Contract</t>
  </si>
  <si>
    <t>Central and North Construction Management Services</t>
  </si>
  <si>
    <t>Central Pipeline Design Services</t>
  </si>
  <si>
    <t>North Pipeline Design Services</t>
  </si>
  <si>
    <t>Consulting and Construction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</si>
</sst>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164" formatCode="&quot;$&quot;#,##0"/>
    <numFmt numFmtId="165" formatCode="_(&quot;$&quot;* #,##0_);_(&quot;$&quot;* \(#,##0\);_(&quot;$&quot;* &quot;-&quot;??_);_(@_)"/>
    <numFmt numFmtId="166" formatCode="_(&quot;$&quot;* #,##0_);_(&quot;$&quot;* \(#,##0\);_(&quot;$&quot;* &quot;-&quot;?_);_(@_)"/>
  </numFmts>
  <fonts count="31" x14ac:knownFonts="1">
    <font>
      <sz val="11"/>
      <color theme="1"/>
      <name val="Aptos Narrow"/>
      <family val="2"/>
      <scheme val="minor"/>
    </font>
    <font>
      <sz val="11"/>
      <color theme="1"/>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b/>
      <sz val="16"/>
      <color theme="4"/>
      <name val="Aptos Display"/>
      <family val="2"/>
      <scheme val="major"/>
    </font>
    <font>
      <sz val="14"/>
      <color theme="4"/>
      <name val="Aptos Display"/>
      <family val="2"/>
      <scheme val="major"/>
    </font>
    <font>
      <b/>
      <sz val="11"/>
      <color theme="0"/>
      <name val="Aptos Display"/>
      <family val="2"/>
      <scheme val="major"/>
    </font>
    <font>
      <i/>
      <sz val="11"/>
      <color theme="3"/>
      <name val="Aptos Narrow"/>
      <family val="2"/>
      <scheme val="minor"/>
    </font>
    <font>
      <sz val="11"/>
      <color rgb="FF0000FF"/>
      <name val="Aptos Narrow"/>
      <family val="2"/>
      <scheme val="minor"/>
    </font>
    <font>
      <sz val="8"/>
      <name val="Aptos Narrow"/>
      <family val="2"/>
      <scheme val="minor"/>
    </font>
    <font>
      <i/>
      <sz val="11"/>
      <color theme="1"/>
      <name val="Aptos Narrow"/>
      <family val="2"/>
      <scheme val="minor"/>
    </font>
    <font>
      <sz val="16"/>
      <color theme="4"/>
      <name val="Aptos Display"/>
      <family val="2"/>
      <scheme val="major"/>
    </font>
    <font>
      <b/>
      <sz val="20"/>
      <color theme="0"/>
      <name val="Aptos Display"/>
      <family val="2"/>
      <scheme val="major"/>
    </font>
    <font>
      <sz val="16"/>
      <color theme="1"/>
      <name val="Aptos Narrow"/>
      <family val="2"/>
      <scheme val="minor"/>
    </font>
    <font>
      <i/>
      <sz val="16"/>
      <color theme="1"/>
      <name val="Aptos Narrow"/>
      <family val="2"/>
      <scheme val="minor"/>
    </font>
    <font>
      <sz val="16"/>
      <color theme="1"/>
      <name val="Aptos Narrow"/>
      <family val="2"/>
    </font>
    <font>
      <b/>
      <sz val="16"/>
      <color theme="1"/>
      <name val="Aptos Narrow"/>
      <family val="2"/>
      <scheme val="minor"/>
    </font>
    <font>
      <sz val="20"/>
      <color theme="4"/>
      <name val="Aptos Display"/>
      <family val="2"/>
      <scheme val="major"/>
    </font>
    <font>
      <b/>
      <sz val="28"/>
      <color theme="4"/>
      <name val="Aptos Display"/>
      <family val="2"/>
      <scheme val="major"/>
    </font>
    <font>
      <b/>
      <sz val="12"/>
      <color theme="1"/>
      <name val="Aptos Narrow"/>
      <family val="2"/>
      <scheme val="minor"/>
    </font>
    <font>
      <b/>
      <sz val="9"/>
      <color indexed="81"/>
      <name val="Tahoma"/>
      <family val="2"/>
    </font>
    <font>
      <sz val="9"/>
      <color indexed="81"/>
      <name val="Tahoma"/>
      <family val="2"/>
    </font>
    <font>
      <b/>
      <i/>
      <sz val="11"/>
      <color theme="1"/>
      <name val="Aptos Narrow"/>
      <family val="2"/>
      <scheme val="minor"/>
    </font>
  </fonts>
  <fills count="2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3"/>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theme="4" tint="0.39997558519241921"/>
        <bgColor indexed="64"/>
      </patternFill>
    </fill>
    <fill>
      <patternFill patternType="solid">
        <fgColor theme="5" tint="0.39994506668294322"/>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1" tint="0.499984740745262"/>
        <bgColor indexed="64"/>
      </patternFill>
    </fill>
    <fill>
      <patternFill patternType="solid">
        <fgColor theme="0"/>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theme="8" tint="0.79998168889431442"/>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6"/>
      </bottom>
      <diagonal/>
    </border>
    <border>
      <left/>
      <right/>
      <top/>
      <bottom style="medium">
        <color theme="3"/>
      </bottom>
      <diagonal/>
    </border>
    <border>
      <left/>
      <right/>
      <top style="thin">
        <color theme="3"/>
      </top>
      <bottom style="double">
        <color theme="3"/>
      </bottom>
      <diagonal/>
    </border>
    <border>
      <left/>
      <right/>
      <top/>
      <bottom style="thin">
        <color indexed="6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top style="thin">
        <color theme="3"/>
      </top>
      <bottom/>
      <diagonal/>
    </border>
    <border>
      <left/>
      <right style="thin">
        <color theme="3"/>
      </right>
      <top style="thin">
        <color theme="3"/>
      </top>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diagonal/>
    </border>
    <border>
      <left/>
      <right style="thin">
        <color theme="5"/>
      </right>
      <top style="thin">
        <color theme="5"/>
      </top>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right/>
      <top style="hair">
        <color auto="1"/>
      </top>
      <bottom style="hair">
        <color auto="1"/>
      </bottom>
      <diagonal/>
    </border>
    <border>
      <left/>
      <right/>
      <top style="thin">
        <color indexed="64"/>
      </top>
      <bottom/>
      <diagonal/>
    </border>
    <border>
      <left/>
      <right/>
      <top style="thin">
        <color indexed="64"/>
      </top>
      <bottom style="thin">
        <color theme="3"/>
      </bottom>
      <diagonal/>
    </border>
  </borders>
  <cellStyleXfs count="19">
    <xf numFmtId="0" fontId="0" fillId="0" borderId="0" applyProtection="0"/>
    <xf numFmtId="0" fontId="12" fillId="0" borderId="6" applyNumberFormat="0" applyFill="0" applyAlignment="0" applyProtection="0"/>
    <xf numFmtId="0" fontId="13" fillId="0" borderId="7" applyNumberFormat="0" applyFill="0" applyAlignment="0" applyProtection="0"/>
    <xf numFmtId="0" fontId="14" fillId="8" borderId="0" applyNumberFormat="0" applyProtection="0">
      <alignment horizontal="centerContinuous" vertical="center" wrapText="1"/>
    </xf>
    <xf numFmtId="0" fontId="15"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16" fillId="10" borderId="0" applyNumberFormat="0" applyAlignment="0" applyProtection="0"/>
    <xf numFmtId="0" fontId="5" fillId="5" borderId="2" applyNumberFormat="0" applyAlignment="0" applyProtection="0"/>
    <xf numFmtId="0" fontId="6" fillId="5" borderId="1" applyNumberFormat="0" applyAlignment="0" applyProtection="0"/>
    <xf numFmtId="0" fontId="7" fillId="0" borderId="3" applyNumberFormat="0" applyFill="0" applyAlignment="0" applyProtection="0"/>
    <xf numFmtId="0" fontId="8" fillId="6" borderId="4" applyNumberFormat="0" applyAlignment="0" applyProtection="0"/>
    <xf numFmtId="0" fontId="9" fillId="0" borderId="0" applyNumberFormat="0" applyFill="0" applyBorder="0" applyAlignment="0" applyProtection="0"/>
    <xf numFmtId="0" fontId="1" fillId="7" borderId="5" applyNumberFormat="0" applyAlignment="0" applyProtection="0"/>
    <xf numFmtId="0" fontId="10" fillId="0" borderId="0" applyNumberFormat="0" applyFill="0" applyBorder="0" applyAlignment="0" applyProtection="0"/>
    <xf numFmtId="0" fontId="11" fillId="9" borderId="8" applyNumberFormat="0" applyAlignment="0" applyProtection="0"/>
    <xf numFmtId="44" fontId="1" fillId="0" borderId="0" applyFont="0" applyFill="0" applyBorder="0" applyAlignment="0" applyProtection="0"/>
    <xf numFmtId="0" fontId="1" fillId="0" borderId="0"/>
  </cellStyleXfs>
  <cellXfs count="162">
    <xf numFmtId="0" fontId="0" fillId="0" borderId="0" xfId="0"/>
    <xf numFmtId="0" fontId="12" fillId="0" borderId="6" xfId="1"/>
    <xf numFmtId="0" fontId="14" fillId="8" borderId="0" xfId="3">
      <alignment horizontal="centerContinuous" vertical="center" wrapText="1"/>
    </xf>
    <xf numFmtId="0" fontId="13" fillId="0" borderId="7" xfId="2" applyAlignment="1">
      <alignment horizontal="centerContinuous"/>
    </xf>
    <xf numFmtId="37" fontId="0" fillId="0" borderId="0" xfId="0" applyNumberFormat="1"/>
    <xf numFmtId="0" fontId="0" fillId="0" borderId="0" xfId="0" applyAlignment="1">
      <alignment vertical="top"/>
    </xf>
    <xf numFmtId="37" fontId="0" fillId="0" borderId="0" xfId="0" applyNumberFormat="1" applyAlignment="1">
      <alignment vertical="top"/>
    </xf>
    <xf numFmtId="0" fontId="11" fillId="0" borderId="0" xfId="0" applyFont="1" applyAlignment="1">
      <alignment vertical="top"/>
    </xf>
    <xf numFmtId="0" fontId="0" fillId="0" borderId="0" xfId="0" applyAlignment="1">
      <alignment horizontal="left" vertical="top"/>
    </xf>
    <xf numFmtId="0" fontId="0" fillId="0" borderId="9" xfId="0" applyBorder="1" applyAlignment="1">
      <alignment vertical="top"/>
    </xf>
    <xf numFmtId="37" fontId="0" fillId="0" borderId="9" xfId="0" applyNumberFormat="1" applyBorder="1" applyAlignment="1">
      <alignment vertical="top"/>
    </xf>
    <xf numFmtId="2" fontId="0" fillId="0" borderId="0" xfId="0" applyNumberFormat="1" applyAlignment="1">
      <alignment vertical="top"/>
    </xf>
    <xf numFmtId="0" fontId="0" fillId="11" borderId="10" xfId="0" applyFill="1" applyBorder="1"/>
    <xf numFmtId="0" fontId="0" fillId="11" borderId="11" xfId="0" applyFill="1" applyBorder="1"/>
    <xf numFmtId="0" fontId="0" fillId="11" borderId="12" xfId="0" applyFill="1" applyBorder="1"/>
    <xf numFmtId="0" fontId="0" fillId="11" borderId="13" xfId="0" applyFill="1" applyBorder="1"/>
    <xf numFmtId="0" fontId="0" fillId="11" borderId="14" xfId="0" applyFill="1" applyBorder="1"/>
    <xf numFmtId="14" fontId="16" fillId="10" borderId="0" xfId="8" applyNumberFormat="1" applyAlignment="1">
      <alignment horizontal="center" vertical="top"/>
    </xf>
    <xf numFmtId="0" fontId="0" fillId="13" borderId="15" xfId="0" applyFill="1" applyBorder="1"/>
    <xf numFmtId="0" fontId="0" fillId="13" borderId="16" xfId="0" applyFill="1" applyBorder="1"/>
    <xf numFmtId="0" fontId="0" fillId="13" borderId="17" xfId="0" applyFill="1" applyBorder="1"/>
    <xf numFmtId="0" fontId="0" fillId="13" borderId="18" xfId="0" applyFill="1" applyBorder="1"/>
    <xf numFmtId="0" fontId="0" fillId="13" borderId="19" xfId="0" applyFill="1" applyBorder="1"/>
    <xf numFmtId="0" fontId="0" fillId="12" borderId="20" xfId="0" applyFill="1" applyBorder="1"/>
    <xf numFmtId="0" fontId="0" fillId="12" borderId="21" xfId="0" applyFill="1" applyBorder="1"/>
    <xf numFmtId="0" fontId="0" fillId="12" borderId="22" xfId="0" applyFill="1" applyBorder="1"/>
    <xf numFmtId="0" fontId="0" fillId="0" borderId="0" xfId="0" applyAlignment="1">
      <alignment horizontal="right"/>
    </xf>
    <xf numFmtId="0" fontId="14" fillId="8" borderId="0" xfId="3" applyAlignment="1">
      <alignment horizontal="right" vertical="center" wrapText="1"/>
    </xf>
    <xf numFmtId="0" fontId="12" fillId="0" borderId="6" xfId="1" applyAlignment="1">
      <alignment horizontal="left"/>
    </xf>
    <xf numFmtId="0" fontId="0" fillId="0" borderId="0" xfId="0" applyAlignment="1">
      <alignment horizontal="right" vertical="top"/>
    </xf>
    <xf numFmtId="0" fontId="0" fillId="0" borderId="9" xfId="0" applyBorder="1" applyAlignment="1">
      <alignment horizontal="left" vertical="top"/>
    </xf>
    <xf numFmtId="0" fontId="0" fillId="0" borderId="9" xfId="0" applyBorder="1"/>
    <xf numFmtId="0" fontId="14" fillId="8" borderId="0" xfId="3" applyAlignment="1">
      <alignment horizontal="left" vertical="center"/>
    </xf>
    <xf numFmtId="0" fontId="0" fillId="0" borderId="0" xfId="0" applyAlignment="1">
      <alignment vertical="top" wrapText="1"/>
    </xf>
    <xf numFmtId="0" fontId="18" fillId="0" borderId="0" xfId="0" applyFont="1" applyAlignment="1">
      <alignment vertical="top"/>
    </xf>
    <xf numFmtId="0" fontId="0" fillId="0" borderId="0" xfId="0" applyAlignment="1">
      <alignment horizontal="left" vertical="top" wrapText="1"/>
    </xf>
    <xf numFmtId="0" fontId="13" fillId="0" borderId="7" xfId="2"/>
    <xf numFmtId="0" fontId="0" fillId="0" borderId="0" xfId="0" applyAlignment="1">
      <alignment horizontal="center" vertical="center"/>
    </xf>
    <xf numFmtId="0" fontId="0" fillId="0" borderId="0" xfId="0" applyAlignment="1">
      <alignment wrapText="1"/>
    </xf>
    <xf numFmtId="0" fontId="19" fillId="0" borderId="7" xfId="2" applyFont="1" applyAlignment="1">
      <alignment horizontal="left" vertical="center"/>
    </xf>
    <xf numFmtId="0" fontId="20" fillId="8" borderId="0" xfId="3" applyFont="1">
      <alignment horizontal="centerContinuous" vertical="center" wrapText="1"/>
    </xf>
    <xf numFmtId="0" fontId="21" fillId="0" borderId="0" xfId="0" applyFont="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left" vertical="top" wrapText="1"/>
    </xf>
    <xf numFmtId="0" fontId="21" fillId="0" borderId="0" xfId="0" applyFont="1" applyAlignment="1">
      <alignment vertical="top" wrapText="1"/>
    </xf>
    <xf numFmtId="0" fontId="21" fillId="0" borderId="0" xfId="0" applyFont="1" applyAlignment="1">
      <alignment horizontal="left" vertical="top"/>
    </xf>
    <xf numFmtId="0" fontId="25" fillId="0" borderId="7" xfId="2" applyFont="1" applyAlignment="1">
      <alignment horizontal="left" vertical="top"/>
    </xf>
    <xf numFmtId="0" fontId="26" fillId="0" borderId="6" xfId="1" applyFont="1"/>
    <xf numFmtId="0" fontId="24" fillId="0" borderId="23" xfId="0" applyFont="1" applyBorder="1" applyAlignment="1">
      <alignment horizontal="left" vertical="center"/>
    </xf>
    <xf numFmtId="0" fontId="21" fillId="0" borderId="23" xfId="0" applyFont="1" applyBorder="1" applyAlignment="1">
      <alignment horizontal="left" vertical="center" wrapText="1"/>
    </xf>
    <xf numFmtId="0" fontId="21" fillId="9" borderId="23" xfId="0" applyFont="1" applyFill="1" applyBorder="1" applyAlignment="1">
      <alignment horizontal="center" vertical="center" wrapText="1"/>
    </xf>
    <xf numFmtId="0" fontId="21" fillId="15" borderId="23" xfId="0" applyFont="1" applyFill="1" applyBorder="1" applyAlignment="1">
      <alignment horizontal="centerContinuous" vertical="center" wrapText="1"/>
    </xf>
    <xf numFmtId="0" fontId="22" fillId="14" borderId="23" xfId="0" applyFont="1" applyFill="1" applyBorder="1" applyAlignment="1">
      <alignment horizontal="center" vertical="center" wrapText="1"/>
    </xf>
    <xf numFmtId="0" fontId="21" fillId="0" borderId="23" xfId="0" applyFont="1" applyBorder="1" applyAlignment="1">
      <alignment horizontal="center" vertical="center" wrapText="1"/>
    </xf>
    <xf numFmtId="0" fontId="0" fillId="0" borderId="23" xfId="0" applyBorder="1"/>
    <xf numFmtId="0" fontId="21" fillId="15" borderId="23" xfId="0" applyFont="1" applyFill="1" applyBorder="1" applyAlignment="1">
      <alignment horizontal="left" vertical="center" wrapText="1"/>
    </xf>
    <xf numFmtId="0" fontId="21" fillId="16" borderId="23" xfId="0" applyFont="1" applyFill="1" applyBorder="1" applyAlignment="1">
      <alignment horizontal="left" vertical="center" wrapText="1"/>
    </xf>
    <xf numFmtId="0" fontId="21" fillId="16" borderId="23" xfId="0" applyFont="1" applyFill="1" applyBorder="1" applyAlignment="1">
      <alignment horizontal="center" vertical="center" wrapText="1"/>
    </xf>
    <xf numFmtId="0" fontId="0" fillId="0" borderId="23" xfId="0" applyBorder="1" applyAlignment="1">
      <alignment horizontal="left" vertical="top" wrapText="1"/>
    </xf>
    <xf numFmtId="0" fontId="21" fillId="0" borderId="23" xfId="0" applyFont="1" applyBorder="1" applyAlignment="1">
      <alignment horizontal="left" vertical="top" wrapText="1"/>
    </xf>
    <xf numFmtId="0" fontId="21" fillId="0" borderId="23" xfId="0" applyFont="1" applyBorder="1" applyAlignment="1">
      <alignment vertical="top" wrapText="1"/>
    </xf>
    <xf numFmtId="0" fontId="0" fillId="0" borderId="23" xfId="0" applyBorder="1" applyAlignment="1">
      <alignment wrapText="1"/>
    </xf>
    <xf numFmtId="0" fontId="21" fillId="17" borderId="0" xfId="0" applyFont="1" applyFill="1" applyAlignment="1">
      <alignment horizontal="center" vertical="center" wrapText="1"/>
    </xf>
    <xf numFmtId="0" fontId="11" fillId="9" borderId="8" xfId="16"/>
    <xf numFmtId="0" fontId="14" fillId="8" borderId="0" xfId="3" applyAlignment="1">
      <alignment horizontal="left" vertical="center" wrapText="1"/>
    </xf>
    <xf numFmtId="0" fontId="16" fillId="10" borderId="0" xfId="8"/>
    <xf numFmtId="5" fontId="16" fillId="10" borderId="0" xfId="8" applyNumberFormat="1"/>
    <xf numFmtId="164" fontId="16" fillId="10" borderId="0" xfId="8" applyNumberFormat="1"/>
    <xf numFmtId="164" fontId="11" fillId="9" borderId="8" xfId="16" applyNumberFormat="1"/>
    <xf numFmtId="5" fontId="0" fillId="0" borderId="0" xfId="0" applyNumberFormat="1"/>
    <xf numFmtId="0" fontId="27" fillId="18" borderId="0" xfId="18" applyFont="1" applyFill="1"/>
    <xf numFmtId="165" fontId="27" fillId="18" borderId="0" xfId="17" applyNumberFormat="1" applyFont="1" applyFill="1"/>
    <xf numFmtId="0" fontId="1" fillId="0" borderId="0" xfId="18" applyAlignment="1">
      <alignment horizontal="center"/>
    </xf>
    <xf numFmtId="165" fontId="0" fillId="0" borderId="0" xfId="17" applyNumberFormat="1" applyFont="1" applyAlignment="1"/>
    <xf numFmtId="0" fontId="1" fillId="0" borderId="0" xfId="18"/>
    <xf numFmtId="0" fontId="1" fillId="19" borderId="0" xfId="18" applyFill="1"/>
    <xf numFmtId="165" fontId="0" fillId="0" borderId="0" xfId="17" applyNumberFormat="1" applyFont="1"/>
    <xf numFmtId="165" fontId="1" fillId="0" borderId="0" xfId="18" applyNumberFormat="1"/>
    <xf numFmtId="165" fontId="1" fillId="19" borderId="0" xfId="18" applyNumberFormat="1" applyFill="1"/>
    <xf numFmtId="0" fontId="1" fillId="0" borderId="0" xfId="18" quotePrefix="1"/>
    <xf numFmtId="0" fontId="1" fillId="20" borderId="0" xfId="18" applyFill="1"/>
    <xf numFmtId="165" fontId="0" fillId="20" borderId="0" xfId="17" applyNumberFormat="1" applyFont="1" applyFill="1"/>
    <xf numFmtId="0" fontId="1" fillId="21" borderId="0" xfId="18" applyFill="1"/>
    <xf numFmtId="165" fontId="0" fillId="21" borderId="0" xfId="17" applyNumberFormat="1" applyFont="1" applyFill="1"/>
    <xf numFmtId="165" fontId="1" fillId="21" borderId="0" xfId="18" applyNumberFormat="1" applyFill="1"/>
    <xf numFmtId="166" fontId="1" fillId="0" borderId="0" xfId="18" applyNumberFormat="1"/>
    <xf numFmtId="0" fontId="1" fillId="16" borderId="0" xfId="18" applyFill="1"/>
    <xf numFmtId="165" fontId="0" fillId="16" borderId="0" xfId="17" applyNumberFormat="1" applyFont="1" applyFill="1"/>
    <xf numFmtId="165" fontId="1" fillId="16" borderId="0" xfId="18" applyNumberFormat="1" applyFill="1"/>
    <xf numFmtId="44" fontId="1" fillId="0" borderId="0" xfId="18" applyNumberFormat="1"/>
    <xf numFmtId="165" fontId="0" fillId="0" borderId="0" xfId="17" applyNumberFormat="1" applyFont="1" applyAlignment="1">
      <alignment horizontal="center"/>
    </xf>
    <xf numFmtId="0" fontId="1" fillId="0" borderId="0" xfId="18" applyAlignment="1">
      <alignment horizontal="left"/>
    </xf>
    <xf numFmtId="1" fontId="1" fillId="0" borderId="0" xfId="18" applyNumberFormat="1" applyAlignment="1">
      <alignment horizontal="center"/>
    </xf>
    <xf numFmtId="1" fontId="1" fillId="20" borderId="0" xfId="18" applyNumberFormat="1" applyFill="1" applyAlignment="1">
      <alignment horizontal="center"/>
    </xf>
    <xf numFmtId="0" fontId="1" fillId="22" borderId="0" xfId="18" applyFill="1"/>
    <xf numFmtId="165" fontId="0" fillId="22" borderId="0" xfId="17" applyNumberFormat="1" applyFont="1" applyFill="1"/>
    <xf numFmtId="1" fontId="1" fillId="22" borderId="0" xfId="18" applyNumberFormat="1" applyFill="1" applyAlignment="1">
      <alignment horizontal="center"/>
    </xf>
    <xf numFmtId="165" fontId="0" fillId="0" borderId="0" xfId="17" applyNumberFormat="1" applyFont="1" applyAlignment="1">
      <alignment horizontal="left"/>
    </xf>
    <xf numFmtId="165" fontId="0" fillId="19" borderId="0" xfId="17" applyNumberFormat="1" applyFont="1" applyFill="1" applyAlignment="1">
      <alignment horizontal="left"/>
    </xf>
    <xf numFmtId="0" fontId="1" fillId="23" borderId="0" xfId="18" applyFill="1"/>
    <xf numFmtId="165" fontId="0" fillId="23" borderId="0" xfId="17" applyNumberFormat="1" applyFont="1" applyFill="1"/>
    <xf numFmtId="1" fontId="1" fillId="23" borderId="0" xfId="18" applyNumberFormat="1" applyFill="1" applyAlignment="1">
      <alignment horizontal="center"/>
    </xf>
    <xf numFmtId="0" fontId="1" fillId="11" borderId="0" xfId="18" applyFill="1"/>
    <xf numFmtId="165" fontId="0" fillId="11" borderId="0" xfId="17" applyNumberFormat="1" applyFont="1" applyFill="1"/>
    <xf numFmtId="1" fontId="1" fillId="11" borderId="0" xfId="18" applyNumberFormat="1" applyFill="1" applyAlignment="1">
      <alignment horizontal="center"/>
    </xf>
    <xf numFmtId="165" fontId="1" fillId="11" borderId="0" xfId="18" applyNumberFormat="1" applyFill="1"/>
    <xf numFmtId="0" fontId="1" fillId="18" borderId="0" xfId="18" applyFill="1"/>
    <xf numFmtId="165" fontId="0" fillId="18" borderId="0" xfId="17" applyNumberFormat="1" applyFont="1" applyFill="1"/>
    <xf numFmtId="1" fontId="1" fillId="18" borderId="0" xfId="18" applyNumberFormat="1" applyFill="1"/>
    <xf numFmtId="165" fontId="1" fillId="18" borderId="0" xfId="18" applyNumberFormat="1" applyFill="1"/>
    <xf numFmtId="0" fontId="1" fillId="17" borderId="0" xfId="18" applyFill="1"/>
    <xf numFmtId="0" fontId="1" fillId="24" borderId="0" xfId="18" applyFill="1"/>
    <xf numFmtId="0" fontId="1" fillId="25" borderId="0" xfId="18" applyFill="1"/>
    <xf numFmtId="0" fontId="18" fillId="0" borderId="0" xfId="18" applyFont="1"/>
    <xf numFmtId="0" fontId="30" fillId="0" borderId="0" xfId="18" applyFont="1"/>
    <xf numFmtId="0" fontId="18" fillId="0" borderId="0" xfId="18" applyFont="1" applyAlignment="1">
      <alignment horizontal="left" indent="1"/>
    </xf>
    <xf numFmtId="0" fontId="18" fillId="0" borderId="0" xfId="18" applyFont="1" applyAlignment="1">
      <alignment horizontal="left" indent="2"/>
    </xf>
    <xf numFmtId="165" fontId="0" fillId="19" borderId="0" xfId="17" applyNumberFormat="1" applyFont="1" applyFill="1"/>
    <xf numFmtId="0" fontId="18" fillId="0" borderId="24" xfId="18" applyFont="1" applyBorder="1" applyAlignment="1">
      <alignment horizontal="left" indent="1"/>
    </xf>
    <xf numFmtId="165" fontId="0" fillId="0" borderId="24" xfId="17" applyNumberFormat="1" applyFont="1" applyBorder="1"/>
    <xf numFmtId="0" fontId="1" fillId="26" borderId="0" xfId="18" applyFill="1"/>
    <xf numFmtId="165" fontId="0" fillId="26" borderId="0" xfId="17" applyNumberFormat="1" applyFont="1" applyFill="1"/>
    <xf numFmtId="165" fontId="11" fillId="9" borderId="8" xfId="16" applyNumberFormat="1"/>
    <xf numFmtId="0" fontId="14" fillId="8" borderId="0" xfId="3" applyNumberFormat="1">
      <alignment horizontal="centerContinuous" vertical="center" wrapText="1"/>
    </xf>
    <xf numFmtId="165" fontId="14" fillId="8" borderId="0" xfId="3" applyNumberFormat="1">
      <alignment horizontal="centerContinuous" vertical="center" wrapText="1"/>
    </xf>
    <xf numFmtId="165" fontId="0" fillId="16" borderId="24" xfId="17" applyNumberFormat="1" applyFont="1" applyFill="1" applyBorder="1"/>
    <xf numFmtId="0" fontId="21" fillId="16" borderId="23" xfId="0" applyFont="1" applyFill="1" applyBorder="1" applyAlignment="1">
      <alignment vertical="top"/>
    </xf>
    <xf numFmtId="0" fontId="21" fillId="16" borderId="23" xfId="0" applyFont="1" applyFill="1" applyBorder="1" applyAlignment="1">
      <alignment vertical="top" wrapText="1"/>
    </xf>
    <xf numFmtId="0" fontId="21" fillId="0" borderId="23" xfId="0" applyFont="1" applyBorder="1" applyAlignment="1">
      <alignment vertical="top"/>
    </xf>
    <xf numFmtId="0" fontId="21" fillId="27" borderId="23" xfId="0" applyFont="1" applyFill="1" applyBorder="1" applyAlignment="1">
      <alignment horizontal="centerContinuous" vertical="center" wrapText="1"/>
    </xf>
    <xf numFmtId="9" fontId="0" fillId="0" borderId="0" xfId="0" applyNumberFormat="1"/>
    <xf numFmtId="10" fontId="0" fillId="0" borderId="0" xfId="0" applyNumberFormat="1"/>
    <xf numFmtId="10" fontId="16" fillId="10" borderId="0" xfId="8" applyNumberFormat="1"/>
    <xf numFmtId="37" fontId="0" fillId="0" borderId="9" xfId="0" applyNumberFormat="1" applyBorder="1"/>
    <xf numFmtId="5" fontId="11" fillId="9" borderId="8" xfId="16" applyNumberFormat="1"/>
    <xf numFmtId="0" fontId="18" fillId="0" borderId="9" xfId="18" applyFont="1" applyBorder="1" applyAlignment="1">
      <alignment horizontal="left" indent="1"/>
    </xf>
    <xf numFmtId="0" fontId="18" fillId="0" borderId="0" xfId="0" applyFont="1"/>
    <xf numFmtId="37" fontId="18" fillId="0" borderId="0" xfId="0" applyNumberFormat="1" applyFont="1"/>
    <xf numFmtId="0" fontId="11" fillId="9" borderId="8" xfId="16" applyAlignment="1">
      <alignment horizontal="left"/>
    </xf>
    <xf numFmtId="0" fontId="24" fillId="0" borderId="0" xfId="0" applyFont="1" applyAlignment="1">
      <alignment horizontal="left" vertical="center"/>
    </xf>
    <xf numFmtId="0" fontId="21" fillId="9" borderId="0" xfId="0" applyFont="1" applyFill="1" applyAlignment="1">
      <alignment horizontal="center" vertical="center" wrapText="1"/>
    </xf>
    <xf numFmtId="0" fontId="21" fillId="27" borderId="0" xfId="0" applyFont="1" applyFill="1" applyAlignment="1">
      <alignment horizontal="centerContinuous" vertical="center" wrapText="1"/>
    </xf>
    <xf numFmtId="165" fontId="16" fillId="10" borderId="0" xfId="8" applyNumberFormat="1"/>
    <xf numFmtId="0" fontId="0" fillId="0" borderId="0" xfId="18" applyFont="1"/>
    <xf numFmtId="0" fontId="21" fillId="9" borderId="23" xfId="0" applyFont="1" applyFill="1" applyBorder="1" applyAlignment="1">
      <alignment horizontal="left" vertical="center" wrapText="1"/>
    </xf>
    <xf numFmtId="0" fontId="21" fillId="15" borderId="23" xfId="0" applyFont="1" applyFill="1" applyBorder="1" applyAlignment="1">
      <alignment horizontal="right" vertical="center" wrapText="1"/>
    </xf>
    <xf numFmtId="0" fontId="1" fillId="0" borderId="0" xfId="18" applyAlignment="1">
      <alignment horizontal="left" indent="1"/>
    </xf>
    <xf numFmtId="0" fontId="1" fillId="0" borderId="0" xfId="18" applyAlignment="1">
      <alignment horizontal="left" indent="2"/>
    </xf>
    <xf numFmtId="0" fontId="1" fillId="0" borderId="25" xfId="18" applyBorder="1"/>
    <xf numFmtId="165" fontId="0" fillId="0" borderId="25" xfId="17" applyNumberFormat="1" applyFont="1" applyBorder="1"/>
    <xf numFmtId="0" fontId="0" fillId="0" borderId="0" xfId="0" applyAlignment="1">
      <alignment horizontal="left" indent="1"/>
    </xf>
    <xf numFmtId="165" fontId="18" fillId="0" borderId="0" xfId="0" applyNumberFormat="1" applyFont="1"/>
    <xf numFmtId="0" fontId="21" fillId="9" borderId="23" xfId="0" applyFont="1" applyFill="1" applyBorder="1" applyAlignment="1">
      <alignment horizontal="left" vertical="center"/>
    </xf>
    <xf numFmtId="0" fontId="21" fillId="15" borderId="23" xfId="0" applyFont="1" applyFill="1" applyBorder="1" applyAlignment="1">
      <alignment horizontal="left" vertical="center"/>
    </xf>
    <xf numFmtId="0" fontId="21" fillId="15" borderId="0" xfId="0" applyFont="1" applyFill="1" applyAlignment="1">
      <alignment horizontal="centerContinuous" vertical="center" wrapText="1"/>
    </xf>
    <xf numFmtId="0" fontId="21" fillId="16" borderId="0" xfId="0" applyFont="1" applyFill="1" applyAlignment="1">
      <alignment horizontal="left" vertical="center" wrapText="1"/>
    </xf>
    <xf numFmtId="0" fontId="21" fillId="15" borderId="0" xfId="0" applyFont="1" applyFill="1" applyAlignment="1">
      <alignment horizontal="left" vertical="center" wrapText="1"/>
    </xf>
    <xf numFmtId="0" fontId="21" fillId="16" borderId="0" xfId="0" applyFont="1" applyFill="1" applyAlignment="1">
      <alignment vertical="top" wrapText="1"/>
    </xf>
    <xf numFmtId="0" fontId="21" fillId="16" borderId="0" xfId="0" applyFont="1" applyFill="1" applyAlignment="1">
      <alignment vertical="top"/>
    </xf>
    <xf numFmtId="0" fontId="0" fillId="15" borderId="0" xfId="0" applyFill="1" applyAlignment="1">
      <alignment wrapText="1"/>
    </xf>
    <xf numFmtId="0" fontId="21" fillId="16" borderId="0" xfId="0" applyFont="1" applyFill="1" applyAlignment="1">
      <alignment horizontal="center" vertical="center" wrapText="1"/>
    </xf>
    <xf numFmtId="0" fontId="0" fillId="16" borderId="0" xfId="0" applyFill="1" applyAlignment="1">
      <alignment wrapText="1"/>
    </xf>
  </cellXfs>
  <cellStyles count="19">
    <cellStyle name="Bad" xfId="6" builtinId="27" hidden="1"/>
    <cellStyle name="Calculation" xfId="10" builtinId="22" hidden="1"/>
    <cellStyle name="Check Cell" xfId="12" builtinId="23" hidden="1"/>
    <cellStyle name="Currency" xfId="17" builtinId="4"/>
    <cellStyle name="Explanatory Text" xfId="15" builtinId="53" hidden="1"/>
    <cellStyle name="Good" xfId="5" builtinId="26" hidden="1"/>
    <cellStyle name="Heading 1" xfId="1" builtinId="16" customBuiltin="1"/>
    <cellStyle name="Heading 2" xfId="2" builtinId="17" customBuiltin="1"/>
    <cellStyle name="Heading 3" xfId="3" builtinId="18" customBuiltin="1"/>
    <cellStyle name="Heading 4" xfId="4" builtinId="19" customBuiltin="1"/>
    <cellStyle name="Input" xfId="8" builtinId="20" customBuiltin="1"/>
    <cellStyle name="Linked Cell" xfId="11" builtinId="24" hidden="1"/>
    <cellStyle name="Neutral" xfId="7" builtinId="28" hidden="1"/>
    <cellStyle name="Normal" xfId="0" builtinId="0" customBuiltin="1"/>
    <cellStyle name="Normal 2" xfId="18" xr:uid="{22AD7A41-7D1A-467C-B6CC-50ED2F1FD1DC}"/>
    <cellStyle name="Note" xfId="14" builtinId="10" customBuiltin="1"/>
    <cellStyle name="Output" xfId="9" builtinId="21" hidden="1"/>
    <cellStyle name="Total" xfId="16" builtinId="25" customBuiltin="1"/>
    <cellStyle name="Warning Text" xfId="13" builtinId="11" hidde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'Total Cash Flow'!$A$4</c:f>
              <c:strCache>
                <c:ptCount val="1"/>
                <c:pt idx="0">
                  <c:v>Subtotal Soft Cost Budgtet</c:v>
                </c:pt>
              </c:strCache>
            </c:strRef>
          </c:tx>
          <c:spPr>
            <a:solidFill>
              <a:schemeClr val="accent1"/>
            </a:solidFill>
            <a:ln>
              <a:noFill/>
            </a:ln>
            <a:effectLst/>
          </c:spPr>
          <c:cat>
            <c:numRef>
              <c:f>'Total Cash Flow'!$B$1:$AH$1</c:f>
              <c:numCache>
                <c:formatCode>General</c:formatCode>
                <c:ptCount val="33"/>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numCache>
            </c:numRef>
          </c:cat>
          <c:val>
            <c:numRef>
              <c:f>'Total Cash Flow'!$B$4:$AH$4</c:f>
              <c:numCache>
                <c:formatCode>_("$"* #,##0_);_("$"* \(#,##0\);_("$"* "-"??_);_(@_)</c:formatCode>
                <c:ptCount val="33"/>
                <c:pt idx="0">
                  <c:v>3043150</c:v>
                </c:pt>
                <c:pt idx="1">
                  <c:v>3300000</c:v>
                </c:pt>
                <c:pt idx="2">
                  <c:v>8219750</c:v>
                </c:pt>
                <c:pt idx="3">
                  <c:v>11361900</c:v>
                </c:pt>
                <c:pt idx="4">
                  <c:v>12941500</c:v>
                </c:pt>
                <c:pt idx="5">
                  <c:v>8952900</c:v>
                </c:pt>
                <c:pt idx="6">
                  <c:v>9087100</c:v>
                </c:pt>
                <c:pt idx="7">
                  <c:v>9087100</c:v>
                </c:pt>
                <c:pt idx="8">
                  <c:v>9637100</c:v>
                </c:pt>
                <c:pt idx="9">
                  <c:v>7437100</c:v>
                </c:pt>
                <c:pt idx="10">
                  <c:v>7437100</c:v>
                </c:pt>
                <c:pt idx="11">
                  <c:v>6337100</c:v>
                </c:pt>
                <c:pt idx="12">
                  <c:v>5512100</c:v>
                </c:pt>
                <c:pt idx="13">
                  <c:v>4687100</c:v>
                </c:pt>
                <c:pt idx="14">
                  <c:v>4962100</c:v>
                </c:pt>
                <c:pt idx="15">
                  <c:v>6227100</c:v>
                </c:pt>
                <c:pt idx="16">
                  <c:v>6887100</c:v>
                </c:pt>
                <c:pt idx="17">
                  <c:v>7574600</c:v>
                </c:pt>
                <c:pt idx="18">
                  <c:v>7574600</c:v>
                </c:pt>
                <c:pt idx="19">
                  <c:v>10737100</c:v>
                </c:pt>
                <c:pt idx="20">
                  <c:v>8317100</c:v>
                </c:pt>
                <c:pt idx="21">
                  <c:v>7024600</c:v>
                </c:pt>
                <c:pt idx="22">
                  <c:v>6474600</c:v>
                </c:pt>
                <c:pt idx="23">
                  <c:v>7437100</c:v>
                </c:pt>
                <c:pt idx="24">
                  <c:v>6166600</c:v>
                </c:pt>
                <c:pt idx="25">
                  <c:v>7376600</c:v>
                </c:pt>
                <c:pt idx="26">
                  <c:v>8366600</c:v>
                </c:pt>
                <c:pt idx="27">
                  <c:v>5622100</c:v>
                </c:pt>
                <c:pt idx="28">
                  <c:v>5457100</c:v>
                </c:pt>
                <c:pt idx="29">
                  <c:v>3006300</c:v>
                </c:pt>
                <c:pt idx="30">
                  <c:v>2456300</c:v>
                </c:pt>
                <c:pt idx="31">
                  <c:v>1906300</c:v>
                </c:pt>
                <c:pt idx="32">
                  <c:v>1087900</c:v>
                </c:pt>
              </c:numCache>
            </c:numRef>
          </c:val>
          <c:extLst>
            <c:ext xmlns:c16="http://schemas.microsoft.com/office/drawing/2014/chart" uri="{C3380CC4-5D6E-409C-BE32-E72D297353CC}">
              <c16:uniqueId val="{00000000-A23D-4E88-B8AD-631914F0C5A0}"/>
            </c:ext>
          </c:extLst>
        </c:ser>
        <c:ser>
          <c:idx val="1"/>
          <c:order val="1"/>
          <c:tx>
            <c:strRef>
              <c:f>'Total Cash Flow'!$A$8</c:f>
              <c:strCache>
                <c:ptCount val="1"/>
                <c:pt idx="0">
                  <c:v>Subtotal Construction Budget</c:v>
                </c:pt>
              </c:strCache>
            </c:strRef>
          </c:tx>
          <c:spPr>
            <a:solidFill>
              <a:schemeClr val="accent2"/>
            </a:solidFill>
            <a:ln>
              <a:noFill/>
            </a:ln>
            <a:effectLst/>
          </c:spPr>
          <c:cat>
            <c:numRef>
              <c:f>'Total Cash Flow'!$B$1:$AH$1</c:f>
              <c:numCache>
                <c:formatCode>General</c:formatCode>
                <c:ptCount val="33"/>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numCache>
            </c:numRef>
          </c:cat>
          <c:val>
            <c:numRef>
              <c:f>'Total Cash Flow'!$B$8:$AH$8</c:f>
              <c:numCache>
                <c:formatCode>_("$"* #,##0_);_("$"* \(#,##0\);_("$"* "-"??_);_(@_)</c:formatCode>
                <c:ptCount val="33"/>
                <c:pt idx="0">
                  <c:v>0</c:v>
                </c:pt>
                <c:pt idx="1">
                  <c:v>0</c:v>
                </c:pt>
                <c:pt idx="2">
                  <c:v>0</c:v>
                </c:pt>
                <c:pt idx="3">
                  <c:v>0</c:v>
                </c:pt>
                <c:pt idx="4">
                  <c:v>0</c:v>
                </c:pt>
                <c:pt idx="5">
                  <c:v>30836469.7265625</c:v>
                </c:pt>
                <c:pt idx="6">
                  <c:v>41115292.96875</c:v>
                </c:pt>
                <c:pt idx="7">
                  <c:v>46254704.58984375</c:v>
                </c:pt>
                <c:pt idx="8">
                  <c:v>46254704.58984375</c:v>
                </c:pt>
                <c:pt idx="9">
                  <c:v>56593548.73046875</c:v>
                </c:pt>
                <c:pt idx="10">
                  <c:v>30956511.5234375</c:v>
                </c:pt>
                <c:pt idx="11">
                  <c:v>30956511.5234375</c:v>
                </c:pt>
                <c:pt idx="12">
                  <c:v>30956511.5234375</c:v>
                </c:pt>
                <c:pt idx="13">
                  <c:v>15478255.76171875</c:v>
                </c:pt>
                <c:pt idx="14">
                  <c:v>0</c:v>
                </c:pt>
                <c:pt idx="15">
                  <c:v>0</c:v>
                </c:pt>
                <c:pt idx="16">
                  <c:v>0</c:v>
                </c:pt>
                <c:pt idx="17">
                  <c:v>13989757.03125</c:v>
                </c:pt>
                <c:pt idx="18">
                  <c:v>13989757.03125</c:v>
                </c:pt>
                <c:pt idx="19">
                  <c:v>27287416.40625</c:v>
                </c:pt>
                <c:pt idx="20">
                  <c:v>37347205.729166672</c:v>
                </c:pt>
                <c:pt idx="21">
                  <c:v>37347205.729166672</c:v>
                </c:pt>
                <c:pt idx="22">
                  <c:v>24049546.354166664</c:v>
                </c:pt>
                <c:pt idx="23">
                  <c:v>15556947.65625</c:v>
                </c:pt>
                <c:pt idx="24">
                  <c:v>15556947.65625</c:v>
                </c:pt>
                <c:pt idx="25">
                  <c:v>15556947.65625</c:v>
                </c:pt>
                <c:pt idx="26">
                  <c:v>25765844.270833336</c:v>
                </c:pt>
                <c:pt idx="27">
                  <c:v>25765844.270833336</c:v>
                </c:pt>
                <c:pt idx="28">
                  <c:v>25765844.270833336</c:v>
                </c:pt>
                <c:pt idx="29">
                  <c:v>18334983.333333332</c:v>
                </c:pt>
                <c:pt idx="30">
                  <c:v>18334983.333333332</c:v>
                </c:pt>
                <c:pt idx="31">
                  <c:v>18334983.333333332</c:v>
                </c:pt>
                <c:pt idx="32">
                  <c:v>0</c:v>
                </c:pt>
              </c:numCache>
            </c:numRef>
          </c:val>
          <c:extLst>
            <c:ext xmlns:c16="http://schemas.microsoft.com/office/drawing/2014/chart" uri="{C3380CC4-5D6E-409C-BE32-E72D297353CC}">
              <c16:uniqueId val="{00000001-A23D-4E88-B8AD-631914F0C5A0}"/>
            </c:ext>
          </c:extLst>
        </c:ser>
        <c:ser>
          <c:idx val="2"/>
          <c:order val="2"/>
          <c:tx>
            <c:strRef>
              <c:f>'Total Cash Flow'!$A$11</c:f>
              <c:strCache>
                <c:ptCount val="1"/>
                <c:pt idx="0">
                  <c:v>Risk Reserves (30%)</c:v>
                </c:pt>
              </c:strCache>
            </c:strRef>
          </c:tx>
          <c:spPr>
            <a:solidFill>
              <a:schemeClr val="accent3"/>
            </a:solidFill>
            <a:ln>
              <a:noFill/>
            </a:ln>
            <a:effectLst/>
          </c:spPr>
          <c:cat>
            <c:numRef>
              <c:f>'Total Cash Flow'!$B$1:$AH$1</c:f>
              <c:numCache>
                <c:formatCode>General</c:formatCode>
                <c:ptCount val="33"/>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numCache>
            </c:numRef>
          </c:cat>
          <c:val>
            <c:numRef>
              <c:f>'Total Cash Flow'!$B$11:$AH$11</c:f>
              <c:numCache>
                <c:formatCode>_("$"* #,##0_);_("$"* \(#,##0\);_("$"* "-"??_);_(@_)</c:formatCode>
                <c:ptCount val="33"/>
                <c:pt idx="0">
                  <c:v>912945</c:v>
                </c:pt>
                <c:pt idx="1">
                  <c:v>990000</c:v>
                </c:pt>
                <c:pt idx="2">
                  <c:v>2465925</c:v>
                </c:pt>
                <c:pt idx="3">
                  <c:v>3408570</c:v>
                </c:pt>
                <c:pt idx="4">
                  <c:v>3882450</c:v>
                </c:pt>
                <c:pt idx="5">
                  <c:v>11936810.91796875</c:v>
                </c:pt>
                <c:pt idx="6">
                  <c:v>15060717.890625</c:v>
                </c:pt>
                <c:pt idx="7">
                  <c:v>16602541.376953125</c:v>
                </c:pt>
                <c:pt idx="8">
                  <c:v>16767541.376953125</c:v>
                </c:pt>
                <c:pt idx="9">
                  <c:v>19209194.619140625</c:v>
                </c:pt>
                <c:pt idx="10">
                  <c:v>11518083.45703125</c:v>
                </c:pt>
                <c:pt idx="11">
                  <c:v>11188083.45703125</c:v>
                </c:pt>
                <c:pt idx="12">
                  <c:v>10940583.45703125</c:v>
                </c:pt>
                <c:pt idx="13">
                  <c:v>6049606.728515625</c:v>
                </c:pt>
                <c:pt idx="14">
                  <c:v>1488630</c:v>
                </c:pt>
                <c:pt idx="15">
                  <c:v>1868130</c:v>
                </c:pt>
                <c:pt idx="16">
                  <c:v>2066130</c:v>
                </c:pt>
                <c:pt idx="17">
                  <c:v>6469307.109375</c:v>
                </c:pt>
                <c:pt idx="18">
                  <c:v>6469307.109375</c:v>
                </c:pt>
                <c:pt idx="19">
                  <c:v>11407354.921875</c:v>
                </c:pt>
                <c:pt idx="20">
                  <c:v>13699291.718750002</c:v>
                </c:pt>
                <c:pt idx="21">
                  <c:v>13311541.718750002</c:v>
                </c:pt>
                <c:pt idx="22">
                  <c:v>9157243.9062499981</c:v>
                </c:pt>
                <c:pt idx="23">
                  <c:v>6898214.296875</c:v>
                </c:pt>
                <c:pt idx="24">
                  <c:v>6517064.296875</c:v>
                </c:pt>
                <c:pt idx="25">
                  <c:v>6880064.296875</c:v>
                </c:pt>
                <c:pt idx="26">
                  <c:v>10239733.28125</c:v>
                </c:pt>
                <c:pt idx="27">
                  <c:v>9416383.28125</c:v>
                </c:pt>
                <c:pt idx="28">
                  <c:v>9366883.28125</c:v>
                </c:pt>
                <c:pt idx="29">
                  <c:v>6402384.9999999991</c:v>
                </c:pt>
                <c:pt idx="30">
                  <c:v>6237384.9999999991</c:v>
                </c:pt>
                <c:pt idx="31">
                  <c:v>6072384.9999999991</c:v>
                </c:pt>
                <c:pt idx="32">
                  <c:v>326370</c:v>
                </c:pt>
              </c:numCache>
            </c:numRef>
          </c:val>
          <c:extLst>
            <c:ext xmlns:c16="http://schemas.microsoft.com/office/drawing/2014/chart" uri="{C3380CC4-5D6E-409C-BE32-E72D297353CC}">
              <c16:uniqueId val="{00000002-A23D-4E88-B8AD-631914F0C5A0}"/>
            </c:ext>
          </c:extLst>
        </c:ser>
        <c:dLbls>
          <c:showLegendKey val="0"/>
          <c:showVal val="0"/>
          <c:showCatName val="0"/>
          <c:showSerName val="0"/>
          <c:showPercent val="0"/>
          <c:showBubbleSize val="0"/>
        </c:dLbls>
        <c:axId val="702816272"/>
        <c:axId val="702826832"/>
      </c:areaChart>
      <c:catAx>
        <c:axId val="7028162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26832"/>
        <c:crosses val="autoZero"/>
        <c:auto val="1"/>
        <c:lblAlgn val="ctr"/>
        <c:lblOffset val="100"/>
        <c:noMultiLvlLbl val="0"/>
      </c:catAx>
      <c:valAx>
        <c:axId val="70282683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81627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367866</xdr:colOff>
      <xdr:row>57</xdr:row>
      <xdr:rowOff>158969</xdr:rowOff>
    </xdr:from>
    <xdr:to>
      <xdr:col>4</xdr:col>
      <xdr:colOff>177366</xdr:colOff>
      <xdr:row>72</xdr:row>
      <xdr:rowOff>44669</xdr:rowOff>
    </xdr:to>
    <xdr:graphicFrame macro="">
      <xdr:nvGraphicFramePr>
        <xdr:cNvPr id="2" name="Chart 1">
          <a:extLst>
            <a:ext uri="{FF2B5EF4-FFF2-40B4-BE49-F238E27FC236}">
              <a16:creationId xmlns:a16="http://schemas.microsoft.com/office/drawing/2014/main" id="{7618EB69-A250-49BA-B46D-7BFFB98D1F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6350</xdr:colOff>
      <xdr:row>11</xdr:row>
      <xdr:rowOff>82550</xdr:rowOff>
    </xdr:from>
    <xdr:to>
      <xdr:col>27</xdr:col>
      <xdr:colOff>6350</xdr:colOff>
      <xdr:row>18</xdr:row>
      <xdr:rowOff>82550</xdr:rowOff>
    </xdr:to>
    <xdr:cxnSp macro="">
      <xdr:nvCxnSpPr>
        <xdr:cNvPr id="4" name="Connector: Elbow 3">
          <a:extLst>
            <a:ext uri="{FF2B5EF4-FFF2-40B4-BE49-F238E27FC236}">
              <a16:creationId xmlns:a16="http://schemas.microsoft.com/office/drawing/2014/main" id="{96AAC77E-5224-43AE-9FBA-ED3B53C73C34}"/>
            </a:ext>
          </a:extLst>
        </xdr:cNvPr>
        <xdr:cNvCxnSpPr/>
      </xdr:nvCxnSpPr>
      <xdr:spPr>
        <a:xfrm>
          <a:off x="14598650" y="2184400"/>
          <a:ext cx="3048000" cy="1289050"/>
        </a:xfrm>
        <a:prstGeom prst="bentConnector3">
          <a:avLst>
            <a:gd name="adj1" fmla="val 99583"/>
          </a:avLst>
        </a:prstGeom>
        <a:ln>
          <a:solidFill>
            <a:schemeClr val="tx2"/>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Henry Chen" id="{A667B7CE-303D-47BE-9349-A48A4071968C}" userId="S::hchen@cascadewater.org::4ddc162d-96b7-4a04-b781-ec594490831f" providerId="AD"/>
  <person displayName="Andy Baker" id="{D6B81DF1-173B-4297-9693-92FF6166843A}" userId="S::abaker@cascadewater.org::c733b25c-e01b-4e74-9756-51c3980baa58" providerId="AD"/>
</personList>
</file>

<file path=xl/theme/theme1.xml><?xml version="1.0" encoding="utf-8"?>
<a:theme xmlns:a="http://schemas.openxmlformats.org/drawingml/2006/main" name="Office Theme">
  <a:themeElements>
    <a:clrScheme name="Cascade">
      <a:dk1>
        <a:sysClr val="windowText" lastClr="000000"/>
      </a:dk1>
      <a:lt1>
        <a:sysClr val="window" lastClr="FFFFFF"/>
      </a:lt1>
      <a:dk2>
        <a:srgbClr val="1D6BB5"/>
      </a:dk2>
      <a:lt2>
        <a:srgbClr val="B4DCFA"/>
      </a:lt2>
      <a:accent1>
        <a:srgbClr val="007DC3"/>
      </a:accent1>
      <a:accent2>
        <a:srgbClr val="008265"/>
      </a:accent2>
      <a:accent3>
        <a:srgbClr val="A2BF2F"/>
      </a:accent3>
      <a:accent4>
        <a:srgbClr val="9933FF"/>
      </a:accent4>
      <a:accent5>
        <a:srgbClr val="FF8021"/>
      </a:accent5>
      <a:accent6>
        <a:srgbClr val="F14124"/>
      </a:accent6>
      <a:hlink>
        <a:srgbClr val="56C7AA"/>
      </a:hlink>
      <a:folHlink>
        <a:srgbClr val="59A8D1"/>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42" dT="2024-04-25T19:20:13.33" personId="{A667B7CE-303D-47BE-9349-A48A4071968C}" id="{FD55B9BF-4FA9-408A-86B5-1D8D11B25FA8}">
    <text xml:space="preserve">This includes system wide requirements </text>
  </threadedComment>
  <threadedComment ref="D43" dT="2024-04-25T19:19:33.86" personId="{A667B7CE-303D-47BE-9349-A48A4071968C}" id="{FAB22D65-7F46-4F80-9055-B9B7EAD07681}">
    <text>this includes real property procurement, consultants and contractors.</text>
  </threadedComment>
</ThreadedComments>
</file>

<file path=xl/threadedComments/threadedComment2.xml><?xml version="1.0" encoding="utf-8"?>
<ThreadedComments xmlns="http://schemas.microsoft.com/office/spreadsheetml/2018/threadedcomments" xmlns:x="http://schemas.openxmlformats.org/spreadsheetml/2006/main">
  <threadedComment ref="D46" dT="2024-04-25T19:20:13.33" personId="{A667B7CE-303D-47BE-9349-A48A4071968C}" id="{D5B148CC-79A0-45FA-A574-F0379C33592C}">
    <text xml:space="preserve">This includes system wide requirements </text>
  </threadedComment>
  <threadedComment ref="C47" dT="2024-04-25T19:19:33.86" personId="{A667B7CE-303D-47BE-9349-A48A4071968C}" id="{FC86EDC6-E171-4BF1-86E2-F3AF68184B95}">
    <text>this includes real property procurement, consultants and contractors.</text>
  </threadedComment>
</ThreadedComments>
</file>

<file path=xl/threadedComments/threadedComment3.xml><?xml version="1.0" encoding="utf-8"?>
<ThreadedComments xmlns="http://schemas.microsoft.com/office/spreadsheetml/2018/threadedcomments" xmlns:x="http://schemas.openxmlformats.org/spreadsheetml/2006/main">
  <threadedComment ref="C4" dT="2024-05-07T17:33:18.02" personId="{D6B81DF1-173B-4297-9693-92FF6166843A}" id="{20D930E9-BA50-47EA-8433-83318FE9C5F0}">
    <text>Without Contingency / Sales Tax: $197,923,750</text>
  </threadedComment>
  <threadedComment ref="C7" dT="2024-05-07T17:34:23.56" personId="{D6B81DF1-173B-4297-9693-92FF6166843A}" id="{AF343AB2-7AA8-4D2E-BF67-B9EB0D621D09}">
    <text>Was 50000000</text>
  </threadedComment>
</ThreadedComments>
</file>

<file path=xl/threadedComments/threadedComment4.xml><?xml version="1.0" encoding="utf-8"?>
<ThreadedComments xmlns="http://schemas.microsoft.com/office/spreadsheetml/2018/threadedcomments" xmlns:x="http://schemas.openxmlformats.org/spreadsheetml/2006/main">
  <threadedComment ref="E2" dT="2024-04-11T17:24:20.31" personId="{A667B7CE-303D-47BE-9349-A48A4071968C}" id="{3BA2A0A6-AB99-41C6-A150-346196133671}">
    <text>Assume 30% Overall Contingency</text>
  </threadedComment>
  <threadedComment ref="F2" dT="2024-04-11T17:25:11.85" personId="{A667B7CE-303D-47BE-9349-A48A4071968C}" id="{2894E6CB-32DC-419D-9AE9-20B56AD332A8}">
    <text>Assume $500k per FTE and 15% total consultant fee</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921E7-F767-46B4-AB15-C214B7090E88}">
  <dimension ref="A2:I56"/>
  <sheetViews>
    <sheetView zoomScale="90" zoomScaleNormal="90" workbookViewId="0">
      <selection activeCell="A2" sqref="A2"/>
    </sheetView>
  </sheetViews>
  <sheetFormatPr defaultRowHeight="15" outlineLevelRow="1" outlineLevelCol="1" x14ac:dyDescent="0.25"/>
  <cols>
    <col min="1" max="1" width="37.42578125" customWidth="1"/>
    <col min="2" max="2" width="4" customWidth="1"/>
    <col min="3" max="3" width="20" customWidth="1"/>
    <col min="4" max="9" width="20" customWidth="1" outlineLevel="1"/>
  </cols>
  <sheetData>
    <row r="2" spans="1:9" ht="36.75" thickBot="1" x14ac:dyDescent="0.6">
      <c r="A2" s="47" t="s">
        <v>319</v>
      </c>
      <c r="B2" s="47"/>
      <c r="C2" s="47"/>
      <c r="D2" s="47"/>
      <c r="E2" s="47"/>
      <c r="F2" s="47"/>
      <c r="G2" s="47"/>
      <c r="H2" s="47"/>
      <c r="I2" s="47"/>
    </row>
    <row r="3" spans="1:9" ht="15.75" thickTop="1" x14ac:dyDescent="0.25"/>
    <row r="4" spans="1:9" ht="26.25" x14ac:dyDescent="0.25">
      <c r="A4" s="40"/>
      <c r="B4" s="40"/>
      <c r="C4" s="40">
        <v>2024</v>
      </c>
      <c r="D4" s="40">
        <v>2025</v>
      </c>
      <c r="E4" s="40">
        <v>2026</v>
      </c>
      <c r="F4" s="40">
        <v>2027</v>
      </c>
      <c r="G4" s="40">
        <v>2028</v>
      </c>
      <c r="H4" s="40">
        <v>2029</v>
      </c>
      <c r="I4" s="40">
        <v>2030</v>
      </c>
    </row>
    <row r="5" spans="1:9" s="37" customFormat="1" ht="42" x14ac:dyDescent="0.25">
      <c r="B5" s="41"/>
      <c r="C5" s="41"/>
      <c r="D5" s="41"/>
      <c r="E5" s="41"/>
      <c r="F5" s="41"/>
      <c r="G5" s="41"/>
      <c r="H5" s="62" t="s">
        <v>15</v>
      </c>
      <c r="I5" s="41"/>
    </row>
    <row r="6" spans="1:9" ht="27" thickBot="1" x14ac:dyDescent="0.3">
      <c r="A6" s="46" t="s">
        <v>17</v>
      </c>
      <c r="B6" s="46"/>
      <c r="C6" s="46"/>
      <c r="D6" s="46"/>
      <c r="E6" s="46"/>
      <c r="F6" s="46"/>
      <c r="G6" s="46"/>
      <c r="H6" s="46"/>
      <c r="I6" s="46"/>
    </row>
    <row r="7" spans="1:9" ht="60" customHeight="1" x14ac:dyDescent="0.25">
      <c r="A7" s="48" t="s">
        <v>320</v>
      </c>
      <c r="B7" s="49"/>
      <c r="C7" s="49"/>
      <c r="D7" s="50" t="s">
        <v>18</v>
      </c>
      <c r="E7" s="50" t="s">
        <v>19</v>
      </c>
      <c r="F7" s="51" t="s">
        <v>20</v>
      </c>
      <c r="G7" s="51"/>
      <c r="H7" s="51"/>
      <c r="I7" s="154"/>
    </row>
    <row r="8" spans="1:9" ht="42" customHeight="1" x14ac:dyDescent="0.25">
      <c r="A8" s="48" t="s">
        <v>321</v>
      </c>
      <c r="B8" s="49"/>
      <c r="C8" s="49"/>
      <c r="D8" s="50" t="s">
        <v>18</v>
      </c>
      <c r="E8" s="50" t="s">
        <v>21</v>
      </c>
      <c r="F8" s="55" t="s">
        <v>325</v>
      </c>
      <c r="G8" s="55" t="s">
        <v>324</v>
      </c>
      <c r="H8" s="56" t="s">
        <v>323</v>
      </c>
      <c r="I8" s="155" t="s">
        <v>32</v>
      </c>
    </row>
    <row r="9" spans="1:9" ht="42" customHeight="1" x14ac:dyDescent="0.25">
      <c r="A9" s="48" t="s">
        <v>322</v>
      </c>
      <c r="B9" s="49"/>
      <c r="C9" s="49"/>
      <c r="D9" s="50" t="s">
        <v>18</v>
      </c>
      <c r="E9" s="50" t="s">
        <v>21</v>
      </c>
      <c r="F9" s="55"/>
      <c r="G9" s="55" t="s">
        <v>29</v>
      </c>
      <c r="H9" s="55" t="s">
        <v>327</v>
      </c>
      <c r="I9" s="156" t="s">
        <v>326</v>
      </c>
    </row>
    <row r="10" spans="1:9" ht="42" customHeight="1" outlineLevel="1" x14ac:dyDescent="0.25">
      <c r="A10" s="48" t="s">
        <v>328</v>
      </c>
      <c r="B10" s="49"/>
      <c r="C10" s="49"/>
      <c r="D10" s="50" t="s">
        <v>18</v>
      </c>
      <c r="E10" s="50" t="s">
        <v>21</v>
      </c>
      <c r="F10" s="53"/>
      <c r="G10" s="53"/>
      <c r="H10" s="53"/>
      <c r="I10" s="41"/>
    </row>
    <row r="11" spans="1:9" ht="15" customHeight="1" outlineLevel="1" x14ac:dyDescent="0.25">
      <c r="A11" s="48"/>
      <c r="B11" s="49"/>
      <c r="C11" s="49"/>
      <c r="D11" s="53"/>
      <c r="E11" s="53"/>
      <c r="F11" s="53"/>
      <c r="G11" s="53"/>
      <c r="H11" s="53"/>
      <c r="I11" s="41"/>
    </row>
    <row r="12" spans="1:9" ht="42" customHeight="1" outlineLevel="1" x14ac:dyDescent="0.25">
      <c r="A12" s="48" t="s">
        <v>314</v>
      </c>
      <c r="B12" s="49"/>
      <c r="C12" s="49"/>
      <c r="D12" s="50" t="s">
        <v>329</v>
      </c>
      <c r="E12" s="50" t="s">
        <v>21</v>
      </c>
      <c r="F12" s="53"/>
      <c r="G12" s="53"/>
      <c r="H12" s="53"/>
      <c r="I12" s="41"/>
    </row>
    <row r="13" spans="1:9" ht="42" customHeight="1" outlineLevel="1" x14ac:dyDescent="0.25">
      <c r="A13" s="48"/>
      <c r="B13" s="49"/>
      <c r="C13" s="49"/>
      <c r="D13" s="50"/>
      <c r="E13" s="50"/>
      <c r="F13" s="53"/>
      <c r="G13" s="53"/>
      <c r="H13" s="53"/>
      <c r="I13" s="41"/>
    </row>
    <row r="14" spans="1:9" ht="42" customHeight="1" outlineLevel="1" x14ac:dyDescent="0.25">
      <c r="A14" s="48"/>
      <c r="B14" s="49"/>
      <c r="C14" s="49"/>
      <c r="D14" s="50"/>
      <c r="E14" s="50"/>
      <c r="F14" s="53"/>
      <c r="G14" s="53"/>
      <c r="H14" s="53"/>
      <c r="I14" s="41"/>
    </row>
    <row r="15" spans="1:9" ht="42" customHeight="1" outlineLevel="1" x14ac:dyDescent="0.25">
      <c r="A15" s="48"/>
      <c r="B15" s="49"/>
      <c r="C15" s="49"/>
      <c r="D15" s="50"/>
      <c r="E15" s="50"/>
      <c r="F15" s="53"/>
      <c r="G15" s="53"/>
      <c r="H15" s="53"/>
      <c r="I15" s="41"/>
    </row>
    <row r="16" spans="1:9" ht="42" hidden="1" customHeight="1" x14ac:dyDescent="0.25">
      <c r="A16" s="48" t="s">
        <v>40</v>
      </c>
      <c r="B16" s="49"/>
      <c r="C16" s="49"/>
      <c r="D16" s="50" t="s">
        <v>18</v>
      </c>
      <c r="E16" s="50" t="s">
        <v>21</v>
      </c>
      <c r="F16" s="129" t="s">
        <v>41</v>
      </c>
      <c r="G16" s="129"/>
      <c r="H16" s="129"/>
      <c r="I16" s="141"/>
    </row>
    <row r="17" spans="1:9" ht="9.6" customHeight="1" x14ac:dyDescent="0.25">
      <c r="A17" s="139"/>
      <c r="B17" s="42"/>
      <c r="C17" s="42"/>
      <c r="D17" s="41"/>
      <c r="E17" s="41"/>
      <c r="F17" s="41"/>
      <c r="G17" s="41"/>
      <c r="H17" s="41"/>
      <c r="I17" s="41"/>
    </row>
    <row r="18" spans="1:9" ht="42" hidden="1" customHeight="1" outlineLevel="1" x14ac:dyDescent="0.25">
      <c r="A18" s="139" t="s">
        <v>42</v>
      </c>
      <c r="B18" s="42"/>
      <c r="C18" s="42"/>
      <c r="D18" s="140"/>
      <c r="E18" s="140"/>
      <c r="F18" s="141"/>
      <c r="G18" s="141"/>
      <c r="H18" s="141"/>
      <c r="I18" s="141"/>
    </row>
    <row r="19" spans="1:9" ht="42" hidden="1" customHeight="1" outlineLevel="1" x14ac:dyDescent="0.25">
      <c r="A19" s="139" t="s">
        <v>43</v>
      </c>
      <c r="B19" s="42"/>
      <c r="C19" s="42"/>
      <c r="D19" s="140"/>
      <c r="E19" s="140"/>
      <c r="F19" s="141"/>
      <c r="G19" s="141"/>
      <c r="H19" s="141"/>
      <c r="I19" s="141"/>
    </row>
    <row r="20" spans="1:9" ht="42" hidden="1" customHeight="1" outlineLevel="1" x14ac:dyDescent="0.25">
      <c r="A20" s="139" t="s">
        <v>44</v>
      </c>
      <c r="B20" s="42"/>
      <c r="C20" s="42"/>
      <c r="D20" s="140"/>
      <c r="E20" s="140"/>
      <c r="F20" s="141"/>
      <c r="G20" s="141"/>
      <c r="H20" s="141"/>
      <c r="I20" s="141"/>
    </row>
    <row r="21" spans="1:9" ht="42" hidden="1" customHeight="1" outlineLevel="1" x14ac:dyDescent="0.25">
      <c r="A21" s="139"/>
      <c r="B21" s="42"/>
      <c r="C21" s="42"/>
      <c r="D21" s="140"/>
      <c r="E21" s="140"/>
      <c r="F21" s="141"/>
      <c r="G21" s="141"/>
      <c r="H21" s="141"/>
      <c r="I21" s="141"/>
    </row>
    <row r="22" spans="1:9" ht="42" hidden="1" customHeight="1" outlineLevel="1" x14ac:dyDescent="0.25">
      <c r="A22" s="139"/>
      <c r="B22" s="42"/>
      <c r="C22" s="42"/>
      <c r="D22" s="140"/>
      <c r="E22" s="140"/>
      <c r="F22" s="141"/>
      <c r="G22" s="141"/>
      <c r="H22" s="141"/>
      <c r="I22" s="141"/>
    </row>
    <row r="23" spans="1:9" ht="12" customHeight="1" collapsed="1" x14ac:dyDescent="0.25">
      <c r="A23" s="45"/>
      <c r="B23" s="42"/>
      <c r="C23" s="42"/>
      <c r="D23" s="41"/>
      <c r="E23" s="41"/>
      <c r="F23" s="41"/>
      <c r="G23" s="41"/>
      <c r="H23" s="41"/>
      <c r="I23" s="41"/>
    </row>
    <row r="24" spans="1:9" ht="27" hidden="1" thickBot="1" x14ac:dyDescent="0.3">
      <c r="A24" s="46" t="s">
        <v>45</v>
      </c>
      <c r="B24" s="39"/>
      <c r="C24" s="39"/>
      <c r="D24" s="39"/>
      <c r="E24" s="39"/>
      <c r="F24" s="39"/>
      <c r="G24" s="39"/>
      <c r="H24" s="39"/>
      <c r="I24" s="39"/>
    </row>
    <row r="25" spans="1:9" s="38" customFormat="1" ht="42" hidden="1" customHeight="1" x14ac:dyDescent="0.25">
      <c r="A25" s="35"/>
      <c r="B25" s="41"/>
      <c r="C25" s="41"/>
      <c r="D25" s="43" t="s">
        <v>46</v>
      </c>
      <c r="E25" s="43"/>
      <c r="F25" s="44" t="s">
        <v>47</v>
      </c>
      <c r="G25" s="44"/>
      <c r="H25" s="44" t="s">
        <v>48</v>
      </c>
      <c r="I25" s="44"/>
    </row>
    <row r="26" spans="1:9" s="38" customFormat="1" ht="42" hidden="1" customHeight="1" x14ac:dyDescent="0.25">
      <c r="A26" s="58"/>
      <c r="B26" s="53"/>
      <c r="C26" s="53"/>
      <c r="D26" s="59" t="s">
        <v>49</v>
      </c>
      <c r="E26" s="59"/>
      <c r="F26" s="60" t="s">
        <v>50</v>
      </c>
      <c r="G26" s="60"/>
      <c r="H26" s="60" t="s">
        <v>51</v>
      </c>
      <c r="I26" s="44"/>
    </row>
    <row r="27" spans="1:9" s="38" customFormat="1" ht="42" hidden="1" customHeight="1" x14ac:dyDescent="0.25">
      <c r="A27" s="58"/>
      <c r="B27" s="53"/>
      <c r="C27" s="53"/>
      <c r="D27" s="59" t="s">
        <v>52</v>
      </c>
      <c r="E27" s="59"/>
      <c r="F27" s="60" t="s">
        <v>53</v>
      </c>
      <c r="G27" s="60"/>
      <c r="H27" s="60"/>
      <c r="I27" s="44"/>
    </row>
    <row r="28" spans="1:9" s="38" customFormat="1" ht="42" hidden="1" customHeight="1" x14ac:dyDescent="0.25">
      <c r="A28" s="58"/>
      <c r="B28" s="53"/>
      <c r="C28" s="53"/>
      <c r="D28" s="59"/>
      <c r="E28" s="59"/>
      <c r="F28" s="60" t="s">
        <v>54</v>
      </c>
      <c r="G28" s="60"/>
      <c r="H28" s="60"/>
      <c r="I28" s="44"/>
    </row>
    <row r="29" spans="1:9" s="38" customFormat="1" ht="42" hidden="1" customHeight="1" x14ac:dyDescent="0.25">
      <c r="A29" s="58"/>
      <c r="B29" s="53"/>
      <c r="C29" s="53"/>
      <c r="D29" s="59"/>
      <c r="E29" s="59"/>
      <c r="F29" s="60" t="s">
        <v>55</v>
      </c>
      <c r="G29" s="60"/>
      <c r="H29" s="60"/>
      <c r="I29" s="44"/>
    </row>
    <row r="30" spans="1:9" s="38" customFormat="1" ht="42" customHeight="1" x14ac:dyDescent="0.25">
      <c r="A30" s="35"/>
      <c r="B30" s="41"/>
      <c r="C30" s="41"/>
      <c r="D30" s="43"/>
      <c r="E30" s="43"/>
      <c r="F30" s="44"/>
      <c r="G30" s="44"/>
      <c r="H30" s="44"/>
      <c r="I30" s="44"/>
    </row>
    <row r="31" spans="1:9" s="38" customFormat="1" ht="27" thickBot="1" x14ac:dyDescent="0.3">
      <c r="A31" s="46" t="s">
        <v>56</v>
      </c>
      <c r="B31" s="46"/>
      <c r="C31" s="46"/>
      <c r="D31" s="46"/>
      <c r="E31" s="46"/>
      <c r="F31" s="46"/>
      <c r="G31" s="46"/>
      <c r="H31" s="46"/>
      <c r="I31" s="46"/>
    </row>
    <row r="32" spans="1:9" s="38" customFormat="1" ht="21" x14ac:dyDescent="0.25">
      <c r="A32" s="35"/>
      <c r="B32" s="41"/>
      <c r="C32" s="41"/>
      <c r="D32" s="152" t="s">
        <v>315</v>
      </c>
      <c r="E32" s="50"/>
      <c r="F32" s="60"/>
      <c r="G32" s="60"/>
      <c r="H32" s="60"/>
      <c r="I32" s="44"/>
    </row>
    <row r="33" spans="1:9" s="38" customFormat="1" ht="21" x14ac:dyDescent="0.25">
      <c r="A33" s="35"/>
      <c r="B33" s="41"/>
      <c r="C33" s="41"/>
      <c r="D33" s="126" t="s">
        <v>57</v>
      </c>
      <c r="E33" s="126"/>
      <c r="F33" s="126"/>
      <c r="G33" s="126"/>
      <c r="H33" s="127"/>
      <c r="I33" s="157"/>
    </row>
    <row r="34" spans="1:9" s="38" customFormat="1" ht="21" x14ac:dyDescent="0.25">
      <c r="A34" s="35"/>
      <c r="B34" s="41"/>
      <c r="C34" s="41"/>
      <c r="D34" s="59"/>
      <c r="E34" s="153" t="s">
        <v>58</v>
      </c>
      <c r="F34" s="51"/>
      <c r="G34" s="51"/>
      <c r="H34" s="51"/>
      <c r="I34" s="154"/>
    </row>
    <row r="35" spans="1:9" s="38" customFormat="1" ht="21" x14ac:dyDescent="0.25">
      <c r="A35" s="35"/>
      <c r="B35" s="41"/>
      <c r="C35" s="41"/>
      <c r="D35" s="59"/>
      <c r="E35" s="59"/>
      <c r="F35" s="126" t="s">
        <v>59</v>
      </c>
      <c r="G35" s="126"/>
      <c r="H35" s="127"/>
      <c r="I35" s="157"/>
    </row>
    <row r="36" spans="1:9" s="38" customFormat="1" ht="21" x14ac:dyDescent="0.25">
      <c r="A36" s="35"/>
      <c r="B36" s="41"/>
      <c r="C36" s="41"/>
      <c r="D36" s="59"/>
      <c r="E36" s="59"/>
      <c r="F36" s="128"/>
      <c r="G36" s="128"/>
      <c r="H36" s="126" t="s">
        <v>60</v>
      </c>
      <c r="I36" s="158"/>
    </row>
    <row r="37" spans="1:9" s="38" customFormat="1" ht="21" x14ac:dyDescent="0.25">
      <c r="A37" s="35"/>
      <c r="B37" s="41"/>
      <c r="C37" s="41"/>
      <c r="D37" s="59"/>
      <c r="E37" s="59"/>
      <c r="F37" s="126" t="s">
        <v>61</v>
      </c>
      <c r="G37" s="126"/>
      <c r="H37" s="127"/>
      <c r="I37" s="157"/>
    </row>
    <row r="38" spans="1:9" s="38" customFormat="1" ht="21" x14ac:dyDescent="0.25">
      <c r="A38" s="35"/>
      <c r="B38" s="41"/>
      <c r="C38" s="41"/>
      <c r="D38" s="59"/>
      <c r="E38" s="59"/>
      <c r="F38" s="128"/>
      <c r="G38" s="128"/>
      <c r="H38" s="60"/>
      <c r="I38" s="44"/>
    </row>
    <row r="39" spans="1:9" ht="21" x14ac:dyDescent="0.25">
      <c r="A39" s="35"/>
      <c r="B39" s="41"/>
      <c r="C39" s="41"/>
      <c r="D39" s="59"/>
      <c r="E39" s="59"/>
      <c r="F39" s="60"/>
      <c r="G39" s="60"/>
      <c r="H39" s="60"/>
      <c r="I39" s="44"/>
    </row>
    <row r="40" spans="1:9" ht="27" hidden="1" thickBot="1" x14ac:dyDescent="0.3">
      <c r="A40" s="46" t="s">
        <v>62</v>
      </c>
      <c r="B40" s="39"/>
      <c r="C40" s="39"/>
      <c r="D40" s="39"/>
      <c r="E40" s="39"/>
      <c r="F40" s="39"/>
      <c r="G40" s="39"/>
      <c r="H40" s="39"/>
      <c r="I40" s="39"/>
    </row>
    <row r="41" spans="1:9" ht="42" hidden="1" x14ac:dyDescent="0.25">
      <c r="A41" s="8"/>
      <c r="B41" s="8"/>
      <c r="C41" s="8"/>
      <c r="D41" s="43" t="s">
        <v>63</v>
      </c>
      <c r="E41" s="43" t="s">
        <v>64</v>
      </c>
      <c r="F41" s="43" t="s">
        <v>65</v>
      </c>
      <c r="G41" s="43"/>
      <c r="H41" s="43"/>
      <c r="I41" s="43"/>
    </row>
    <row r="42" spans="1:9" ht="63" hidden="1" x14ac:dyDescent="0.25">
      <c r="A42" s="8"/>
      <c r="B42" s="8"/>
      <c r="C42" s="8"/>
      <c r="D42" s="43" t="s">
        <v>66</v>
      </c>
      <c r="E42" s="43" t="s">
        <v>67</v>
      </c>
      <c r="F42" s="43"/>
      <c r="G42" s="43"/>
      <c r="H42" s="43" t="s">
        <v>68</v>
      </c>
      <c r="I42" s="43"/>
    </row>
    <row r="43" spans="1:9" ht="63" hidden="1" x14ac:dyDescent="0.25">
      <c r="A43" s="8"/>
      <c r="B43" s="8"/>
      <c r="C43" s="8"/>
      <c r="D43" s="43" t="s">
        <v>69</v>
      </c>
      <c r="E43" s="43" t="s">
        <v>70</v>
      </c>
      <c r="F43" s="43"/>
      <c r="G43" s="43"/>
      <c r="H43" s="43"/>
      <c r="I43" s="43"/>
    </row>
    <row r="44" spans="1:9" ht="63" hidden="1" x14ac:dyDescent="0.25">
      <c r="A44" s="8"/>
      <c r="B44" s="8"/>
      <c r="C44" s="8"/>
      <c r="D44" s="43" t="s">
        <v>71</v>
      </c>
      <c r="E44" s="43" t="s">
        <v>72</v>
      </c>
      <c r="F44" s="43"/>
      <c r="G44" s="43"/>
      <c r="H44" s="43"/>
      <c r="I44" s="43"/>
    </row>
    <row r="45" spans="1:9" ht="21" hidden="1" x14ac:dyDescent="0.25">
      <c r="B45" s="45" t="s">
        <v>73</v>
      </c>
      <c r="C45" s="45"/>
      <c r="D45" s="43"/>
      <c r="E45" s="43"/>
      <c r="F45" s="43"/>
      <c r="G45" s="43"/>
      <c r="H45" s="43"/>
      <c r="I45" s="43"/>
    </row>
    <row r="46" spans="1:9" ht="21" hidden="1" x14ac:dyDescent="0.25">
      <c r="D46" s="43" t="s">
        <v>74</v>
      </c>
      <c r="E46" s="43"/>
      <c r="F46" s="43"/>
      <c r="G46" s="43"/>
      <c r="H46" s="43" t="s">
        <v>75</v>
      </c>
      <c r="I46" s="43"/>
    </row>
    <row r="47" spans="1:9" ht="21" x14ac:dyDescent="0.25">
      <c r="D47" s="43"/>
      <c r="E47" s="43"/>
      <c r="F47" s="43"/>
      <c r="G47" s="43"/>
      <c r="H47" s="43"/>
      <c r="I47" s="43"/>
    </row>
    <row r="48" spans="1:9" ht="21" x14ac:dyDescent="0.25">
      <c r="D48" s="43"/>
      <c r="E48" s="43"/>
      <c r="F48" s="43"/>
      <c r="G48" s="43"/>
      <c r="H48" s="43"/>
      <c r="I48" s="43"/>
    </row>
    <row r="49" spans="4:9" ht="21" x14ac:dyDescent="0.25">
      <c r="D49" s="43"/>
      <c r="E49" s="43"/>
      <c r="F49" s="43"/>
      <c r="G49" s="43"/>
      <c r="H49" s="43"/>
      <c r="I49" s="43"/>
    </row>
    <row r="50" spans="4:9" ht="21" x14ac:dyDescent="0.25">
      <c r="D50" s="43"/>
      <c r="E50" s="43"/>
      <c r="F50" s="43"/>
      <c r="G50" s="43"/>
      <c r="H50" s="43"/>
      <c r="I50" s="43"/>
    </row>
    <row r="51" spans="4:9" ht="21" x14ac:dyDescent="0.25">
      <c r="D51" s="43"/>
      <c r="E51" s="43"/>
      <c r="F51" s="43"/>
      <c r="G51" s="43"/>
      <c r="H51" s="43"/>
      <c r="I51" s="43"/>
    </row>
    <row r="52" spans="4:9" ht="21" x14ac:dyDescent="0.25">
      <c r="D52" s="43"/>
      <c r="E52" s="43"/>
      <c r="F52" s="43"/>
      <c r="G52" s="43"/>
      <c r="H52" s="43"/>
      <c r="I52" s="43"/>
    </row>
    <row r="53" spans="4:9" ht="21" x14ac:dyDescent="0.25">
      <c r="D53" s="43"/>
      <c r="E53" s="43"/>
      <c r="F53" s="43"/>
      <c r="G53" s="43"/>
      <c r="H53" s="43"/>
      <c r="I53" s="43"/>
    </row>
    <row r="54" spans="4:9" ht="21" x14ac:dyDescent="0.25">
      <c r="D54" s="43"/>
      <c r="E54" s="43"/>
      <c r="F54" s="43"/>
      <c r="G54" s="43"/>
      <c r="H54" s="43"/>
      <c r="I54" s="43"/>
    </row>
    <row r="55" spans="4:9" ht="21" x14ac:dyDescent="0.25">
      <c r="D55" s="43"/>
      <c r="E55" s="43"/>
      <c r="F55" s="43"/>
      <c r="G55" s="43"/>
      <c r="H55" s="43"/>
      <c r="I55" s="43"/>
    </row>
    <row r="56" spans="4:9" ht="21" x14ac:dyDescent="0.25">
      <c r="D56" s="43"/>
      <c r="E56" s="43"/>
      <c r="F56" s="43"/>
      <c r="G56" s="43"/>
      <c r="H56" s="43"/>
      <c r="I56" s="43"/>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71AC5-34EC-4F81-BB95-0192F2266C6A}">
  <dimension ref="A2:S60"/>
  <sheetViews>
    <sheetView tabSelected="1" zoomScale="85" zoomScaleNormal="85" workbookViewId="0">
      <pane ySplit="4" topLeftCell="A5" activePane="bottomLeft" state="frozen"/>
      <selection pane="bottomLeft"/>
    </sheetView>
  </sheetViews>
  <sheetFormatPr defaultRowHeight="15" outlineLevelRow="1" outlineLevelCol="1" x14ac:dyDescent="0.25"/>
  <cols>
    <col min="1" max="1" width="40.28515625" customWidth="1"/>
    <col min="2" max="2" width="4" customWidth="1"/>
    <col min="3" max="10" width="20" customWidth="1" outlineLevel="1"/>
    <col min="11" max="12" width="20" customWidth="1"/>
    <col min="13" max="19" width="20" customWidth="1" outlineLevel="1"/>
  </cols>
  <sheetData>
    <row r="2" spans="1:19" ht="36.75" thickBot="1" x14ac:dyDescent="0.6">
      <c r="A2" s="47" t="s">
        <v>317</v>
      </c>
      <c r="B2" s="47"/>
      <c r="C2" s="47"/>
      <c r="D2" s="47"/>
      <c r="E2" s="47"/>
      <c r="F2" s="47"/>
      <c r="G2" s="47"/>
      <c r="H2" s="47"/>
      <c r="I2" s="47"/>
      <c r="J2" s="47"/>
      <c r="K2" s="47"/>
      <c r="L2" s="47"/>
      <c r="M2" s="47"/>
      <c r="N2" s="47"/>
      <c r="O2" s="47"/>
      <c r="P2" s="47"/>
      <c r="Q2" s="47"/>
      <c r="R2" s="47"/>
      <c r="S2" s="47"/>
    </row>
    <row r="3" spans="1:19" ht="15.75" thickTop="1" x14ac:dyDescent="0.25"/>
    <row r="4" spans="1:19" ht="52.5" x14ac:dyDescent="0.25">
      <c r="A4" s="40"/>
      <c r="B4" s="40"/>
      <c r="C4" s="40">
        <v>2025</v>
      </c>
      <c r="D4" s="40">
        <v>2026</v>
      </c>
      <c r="E4" s="40" t="s">
        <v>0</v>
      </c>
      <c r="F4" s="40" t="s">
        <v>1</v>
      </c>
      <c r="G4" s="40" t="s">
        <v>2</v>
      </c>
      <c r="H4" s="40" t="s">
        <v>3</v>
      </c>
      <c r="I4" s="40" t="s">
        <v>4</v>
      </c>
      <c r="J4" s="40" t="s">
        <v>5</v>
      </c>
      <c r="K4" s="40" t="s">
        <v>6</v>
      </c>
      <c r="L4" s="40" t="s">
        <v>7</v>
      </c>
      <c r="M4" s="40" t="s">
        <v>8</v>
      </c>
      <c r="N4" s="40" t="s">
        <v>9</v>
      </c>
      <c r="O4" s="40" t="s">
        <v>10</v>
      </c>
      <c r="P4" s="40" t="s">
        <v>11</v>
      </c>
      <c r="Q4" s="40" t="s">
        <v>12</v>
      </c>
      <c r="R4" s="40" t="s">
        <v>13</v>
      </c>
      <c r="S4" s="40" t="s">
        <v>14</v>
      </c>
    </row>
    <row r="5" spans="1:19" s="37" customFormat="1" ht="42" x14ac:dyDescent="0.25">
      <c r="B5" s="41"/>
      <c r="C5" s="41"/>
      <c r="D5" s="41"/>
      <c r="E5" s="41"/>
      <c r="F5" s="62" t="s">
        <v>15</v>
      </c>
      <c r="G5" s="41"/>
      <c r="H5" s="41"/>
      <c r="I5" s="41"/>
      <c r="J5" s="41"/>
      <c r="K5" s="41"/>
      <c r="L5" s="62" t="s">
        <v>16</v>
      </c>
    </row>
    <row r="6" spans="1:19" ht="27" thickBot="1" x14ac:dyDescent="0.3">
      <c r="A6" s="46" t="s">
        <v>17</v>
      </c>
      <c r="B6" s="46"/>
      <c r="C6" s="46"/>
      <c r="D6" s="46"/>
      <c r="E6" s="46"/>
      <c r="F6" s="46"/>
      <c r="G6" s="46"/>
      <c r="H6" s="46"/>
      <c r="I6" s="46"/>
      <c r="J6" s="46"/>
      <c r="K6" s="46"/>
      <c r="L6" s="46"/>
      <c r="M6" s="46"/>
      <c r="N6" s="46"/>
      <c r="O6" s="46"/>
      <c r="P6" s="46"/>
      <c r="Q6" s="46"/>
      <c r="R6" s="46"/>
      <c r="S6" s="46"/>
    </row>
    <row r="7" spans="1:19" ht="60" customHeight="1" x14ac:dyDescent="0.25">
      <c r="A7" s="48" t="s">
        <v>320</v>
      </c>
      <c r="B7" s="49"/>
      <c r="C7" s="50" t="s">
        <v>18</v>
      </c>
      <c r="D7" s="50" t="s">
        <v>19</v>
      </c>
      <c r="E7" s="51" t="s">
        <v>20</v>
      </c>
      <c r="F7" s="51"/>
      <c r="G7" s="51" t="s">
        <v>20</v>
      </c>
      <c r="H7" s="53"/>
      <c r="I7" s="50" t="s">
        <v>21</v>
      </c>
      <c r="J7" s="53"/>
      <c r="K7" s="53"/>
      <c r="L7" s="53"/>
      <c r="M7" s="53"/>
      <c r="N7" s="50" t="s">
        <v>21</v>
      </c>
      <c r="O7" s="53"/>
      <c r="P7" s="53"/>
      <c r="Q7" s="54"/>
      <c r="R7" s="54"/>
      <c r="S7" s="50" t="s">
        <v>21</v>
      </c>
    </row>
    <row r="8" spans="1:19" ht="42" customHeight="1" x14ac:dyDescent="0.25">
      <c r="A8" s="48" t="s">
        <v>22</v>
      </c>
      <c r="B8" s="49"/>
      <c r="C8" s="50" t="s">
        <v>18</v>
      </c>
      <c r="D8" s="50" t="s">
        <v>21</v>
      </c>
      <c r="E8" s="55" t="s">
        <v>23</v>
      </c>
      <c r="F8" s="56" t="s">
        <v>24</v>
      </c>
      <c r="G8" s="57" t="s">
        <v>25</v>
      </c>
      <c r="H8" s="57" t="s">
        <v>26</v>
      </c>
      <c r="I8" s="52" t="s">
        <v>27</v>
      </c>
      <c r="J8" s="52" t="s">
        <v>27</v>
      </c>
      <c r="K8" s="52" t="s">
        <v>27</v>
      </c>
      <c r="L8" s="53"/>
      <c r="M8" s="54"/>
      <c r="N8" s="54"/>
      <c r="O8" s="54"/>
      <c r="P8" s="54"/>
      <c r="Q8" s="54"/>
      <c r="R8" s="54"/>
      <c r="S8" s="54"/>
    </row>
    <row r="9" spans="1:19" ht="42" customHeight="1" x14ac:dyDescent="0.25">
      <c r="A9" s="48" t="s">
        <v>28</v>
      </c>
      <c r="B9" s="49"/>
      <c r="C9" s="50" t="s">
        <v>18</v>
      </c>
      <c r="D9" s="50" t="s">
        <v>21</v>
      </c>
      <c r="E9" s="55" t="s">
        <v>29</v>
      </c>
      <c r="F9" s="55" t="s">
        <v>30</v>
      </c>
      <c r="G9" s="55" t="s">
        <v>31</v>
      </c>
      <c r="H9" s="56" t="s">
        <v>32</v>
      </c>
      <c r="I9" s="57" t="s">
        <v>25</v>
      </c>
      <c r="J9" s="57" t="s">
        <v>26</v>
      </c>
      <c r="K9" s="52" t="s">
        <v>27</v>
      </c>
      <c r="L9" s="53"/>
      <c r="M9" s="54"/>
      <c r="N9" s="54"/>
      <c r="O9" s="54"/>
      <c r="P9" s="54"/>
      <c r="Q9" s="54"/>
      <c r="R9" s="54"/>
      <c r="S9" s="54"/>
    </row>
    <row r="10" spans="1:19" ht="42" customHeight="1" outlineLevel="1" x14ac:dyDescent="0.25">
      <c r="A10" s="48" t="s">
        <v>33</v>
      </c>
      <c r="B10" s="49"/>
      <c r="C10" s="50" t="s">
        <v>18</v>
      </c>
      <c r="D10" s="50" t="s">
        <v>21</v>
      </c>
      <c r="E10" s="53"/>
      <c r="F10" s="53"/>
      <c r="G10" s="53"/>
      <c r="H10" s="53"/>
      <c r="I10" s="53"/>
      <c r="J10" s="53"/>
      <c r="K10" s="55" t="s">
        <v>29</v>
      </c>
      <c r="L10" s="55" t="s">
        <v>30</v>
      </c>
      <c r="M10" s="56" t="s">
        <v>24</v>
      </c>
      <c r="N10" s="57" t="s">
        <v>26</v>
      </c>
      <c r="O10" s="54"/>
      <c r="P10" s="54"/>
      <c r="Q10" s="54"/>
      <c r="R10" s="54"/>
      <c r="S10" s="54"/>
    </row>
    <row r="11" spans="1:19" ht="42" customHeight="1" outlineLevel="1" x14ac:dyDescent="0.25">
      <c r="A11" s="48" t="s">
        <v>34</v>
      </c>
      <c r="B11" s="49"/>
      <c r="C11" s="50" t="s">
        <v>18</v>
      </c>
      <c r="D11" s="50" t="s">
        <v>21</v>
      </c>
      <c r="E11" s="53"/>
      <c r="F11" s="53"/>
      <c r="G11" s="53"/>
      <c r="H11" s="53"/>
      <c r="I11" s="53"/>
      <c r="J11" s="53"/>
      <c r="K11" s="55" t="s">
        <v>23</v>
      </c>
      <c r="L11" s="56" t="s">
        <v>24</v>
      </c>
      <c r="M11" s="57" t="s">
        <v>26</v>
      </c>
      <c r="N11" s="54"/>
      <c r="O11" s="54"/>
      <c r="P11" s="54"/>
      <c r="Q11" s="54"/>
      <c r="R11" s="54"/>
      <c r="S11" s="54"/>
    </row>
    <row r="12" spans="1:19" ht="42" customHeight="1" outlineLevel="1" x14ac:dyDescent="0.25">
      <c r="A12" s="48" t="s">
        <v>35</v>
      </c>
      <c r="B12" s="49"/>
      <c r="C12" s="50" t="s">
        <v>18</v>
      </c>
      <c r="D12" s="50" t="s">
        <v>21</v>
      </c>
      <c r="E12" s="53"/>
      <c r="F12" s="53"/>
      <c r="G12" s="53"/>
      <c r="H12" s="53"/>
      <c r="I12" s="53"/>
      <c r="J12" s="53"/>
      <c r="K12" s="53"/>
      <c r="L12" s="55" t="s">
        <v>29</v>
      </c>
      <c r="M12" s="55" t="s">
        <v>30</v>
      </c>
      <c r="N12" s="56" t="s">
        <v>24</v>
      </c>
      <c r="O12" s="57" t="s">
        <v>26</v>
      </c>
      <c r="P12" s="54"/>
      <c r="Q12" s="54"/>
      <c r="R12" s="54"/>
      <c r="S12" s="54"/>
    </row>
    <row r="13" spans="1:19" ht="42" customHeight="1" outlineLevel="1" x14ac:dyDescent="0.25">
      <c r="A13" s="48" t="s">
        <v>36</v>
      </c>
      <c r="B13" s="49"/>
      <c r="C13" s="50" t="s">
        <v>18</v>
      </c>
      <c r="D13" s="50" t="s">
        <v>21</v>
      </c>
      <c r="E13" s="53"/>
      <c r="F13" s="53"/>
      <c r="G13" s="53"/>
      <c r="H13" s="53"/>
      <c r="I13" s="53"/>
      <c r="J13" s="53"/>
      <c r="K13" s="53"/>
      <c r="L13" s="55" t="s">
        <v>29</v>
      </c>
      <c r="M13" s="55" t="s">
        <v>30</v>
      </c>
      <c r="N13" s="56" t="s">
        <v>24</v>
      </c>
      <c r="O13" s="57" t="s">
        <v>26</v>
      </c>
      <c r="P13" s="54"/>
      <c r="Q13" s="54"/>
      <c r="R13" s="54"/>
      <c r="S13" s="54"/>
    </row>
    <row r="14" spans="1:19" ht="42" customHeight="1" outlineLevel="1" x14ac:dyDescent="0.25">
      <c r="A14" s="48" t="s">
        <v>37</v>
      </c>
      <c r="B14" s="49"/>
      <c r="C14" s="50" t="s">
        <v>18</v>
      </c>
      <c r="D14" s="50" t="s">
        <v>21</v>
      </c>
      <c r="E14" s="53"/>
      <c r="F14" s="53"/>
      <c r="G14" s="53"/>
      <c r="H14" s="53"/>
      <c r="I14" s="53"/>
      <c r="J14" s="53"/>
      <c r="K14" s="53"/>
      <c r="L14" s="53"/>
      <c r="M14" s="55" t="s">
        <v>29</v>
      </c>
      <c r="N14" s="55" t="s">
        <v>30</v>
      </c>
      <c r="O14" s="56" t="s">
        <v>24</v>
      </c>
      <c r="P14" s="57" t="s">
        <v>26</v>
      </c>
      <c r="Q14" s="54"/>
      <c r="R14" s="54"/>
      <c r="S14" s="54"/>
    </row>
    <row r="15" spans="1:19" ht="42" customHeight="1" outlineLevel="1" x14ac:dyDescent="0.25">
      <c r="A15" s="48" t="s">
        <v>38</v>
      </c>
      <c r="B15" s="49"/>
      <c r="C15" s="50" t="s">
        <v>18</v>
      </c>
      <c r="D15" s="50" t="s">
        <v>21</v>
      </c>
      <c r="E15" s="53"/>
      <c r="F15" s="53"/>
      <c r="G15" s="53"/>
      <c r="H15" s="53"/>
      <c r="I15" s="53"/>
      <c r="J15" s="53"/>
      <c r="K15" s="53"/>
      <c r="L15" s="53"/>
      <c r="M15" s="54"/>
      <c r="N15" s="54"/>
      <c r="O15" s="55" t="s">
        <v>29</v>
      </c>
      <c r="P15" s="55" t="s">
        <v>30</v>
      </c>
      <c r="Q15" s="56" t="s">
        <v>24</v>
      </c>
      <c r="R15" s="57" t="s">
        <v>26</v>
      </c>
      <c r="S15" s="54"/>
    </row>
    <row r="16" spans="1:19" ht="42" customHeight="1" outlineLevel="1" x14ac:dyDescent="0.25">
      <c r="A16" s="48" t="s">
        <v>39</v>
      </c>
      <c r="B16" s="49"/>
      <c r="C16" s="50" t="s">
        <v>18</v>
      </c>
      <c r="D16" s="50" t="s">
        <v>21</v>
      </c>
      <c r="E16" s="53"/>
      <c r="F16" s="53"/>
      <c r="G16" s="53"/>
      <c r="H16" s="53"/>
      <c r="I16" s="53"/>
      <c r="J16" s="53"/>
      <c r="K16" s="53"/>
      <c r="L16" s="53"/>
      <c r="M16" s="54"/>
      <c r="N16" s="54"/>
      <c r="O16" s="54"/>
      <c r="P16" s="55" t="s">
        <v>29</v>
      </c>
      <c r="Q16" s="55" t="s">
        <v>30</v>
      </c>
      <c r="R16" s="56" t="s">
        <v>24</v>
      </c>
      <c r="S16" s="57" t="s">
        <v>26</v>
      </c>
    </row>
    <row r="17" spans="1:19" ht="42" hidden="1" customHeight="1" x14ac:dyDescent="0.25">
      <c r="A17" s="48" t="s">
        <v>40</v>
      </c>
      <c r="B17" s="49"/>
      <c r="C17" s="50" t="s">
        <v>18</v>
      </c>
      <c r="D17" s="50" t="s">
        <v>21</v>
      </c>
      <c r="E17" s="129" t="s">
        <v>41</v>
      </c>
      <c r="F17" s="129"/>
      <c r="G17" s="53"/>
      <c r="H17" s="53"/>
      <c r="I17" s="53"/>
      <c r="J17" s="53"/>
      <c r="K17" s="53"/>
      <c r="L17" s="53"/>
      <c r="M17" s="54"/>
      <c r="N17" s="54"/>
      <c r="O17" s="54"/>
      <c r="P17" s="54"/>
      <c r="Q17" s="54"/>
      <c r="R17" s="54"/>
      <c r="S17" s="54"/>
    </row>
    <row r="18" spans="1:19" ht="9.6" customHeight="1" x14ac:dyDescent="0.25">
      <c r="A18" s="139"/>
      <c r="B18" s="42"/>
      <c r="C18" s="41"/>
      <c r="D18" s="41"/>
      <c r="E18" s="41"/>
      <c r="F18" s="41"/>
      <c r="G18" s="41"/>
      <c r="H18" s="41"/>
      <c r="I18" s="41"/>
      <c r="J18" s="41"/>
      <c r="K18" s="41"/>
      <c r="L18" s="41"/>
    </row>
    <row r="19" spans="1:19" ht="42" hidden="1" customHeight="1" outlineLevel="1" x14ac:dyDescent="0.25">
      <c r="A19" s="139" t="s">
        <v>42</v>
      </c>
      <c r="B19" s="42"/>
      <c r="C19" s="140"/>
      <c r="D19" s="140"/>
      <c r="E19" s="141"/>
      <c r="F19" s="141"/>
      <c r="G19" s="41"/>
      <c r="H19" s="41"/>
      <c r="I19" s="41"/>
      <c r="J19" s="41"/>
      <c r="K19" s="41"/>
      <c r="L19" s="41"/>
      <c r="S19" s="55" t="s">
        <v>23</v>
      </c>
    </row>
    <row r="20" spans="1:19" ht="42" hidden="1" customHeight="1" outlineLevel="1" x14ac:dyDescent="0.25">
      <c r="A20" s="139" t="s">
        <v>43</v>
      </c>
      <c r="B20" s="42"/>
      <c r="C20" s="140"/>
      <c r="D20" s="140"/>
      <c r="E20" s="141"/>
      <c r="F20" s="141"/>
      <c r="G20" s="41"/>
      <c r="H20" s="41"/>
      <c r="I20" s="41"/>
      <c r="J20" s="41"/>
      <c r="K20" s="41"/>
      <c r="L20" s="41"/>
      <c r="R20" s="55" t="s">
        <v>29</v>
      </c>
      <c r="S20" s="55" t="s">
        <v>30</v>
      </c>
    </row>
    <row r="21" spans="1:19" ht="42" hidden="1" customHeight="1" outlineLevel="1" x14ac:dyDescent="0.25">
      <c r="A21" s="139" t="s">
        <v>44</v>
      </c>
      <c r="B21" s="42"/>
      <c r="C21" s="140"/>
      <c r="D21" s="140"/>
      <c r="E21" s="141"/>
      <c r="F21" s="141"/>
      <c r="G21" s="41"/>
      <c r="H21" s="41"/>
      <c r="I21" s="41"/>
      <c r="J21" s="41"/>
      <c r="K21" s="41"/>
      <c r="L21" s="41"/>
    </row>
    <row r="22" spans="1:19" ht="42" hidden="1" customHeight="1" outlineLevel="1" x14ac:dyDescent="0.25">
      <c r="A22" s="139"/>
      <c r="B22" s="42"/>
      <c r="C22" s="140"/>
      <c r="D22" s="140"/>
      <c r="E22" s="141"/>
      <c r="F22" s="141"/>
      <c r="G22" s="41"/>
      <c r="H22" s="41"/>
      <c r="I22" s="41"/>
      <c r="J22" s="41"/>
      <c r="K22" s="41"/>
      <c r="L22" s="41"/>
    </row>
    <row r="23" spans="1:19" ht="42" hidden="1" customHeight="1" outlineLevel="1" x14ac:dyDescent="0.25">
      <c r="A23" s="139"/>
      <c r="B23" s="42"/>
      <c r="C23" s="140"/>
      <c r="D23" s="140"/>
      <c r="E23" s="141"/>
      <c r="F23" s="141"/>
      <c r="G23" s="41"/>
      <c r="H23" s="41"/>
      <c r="I23" s="41"/>
      <c r="J23" s="41"/>
      <c r="K23" s="41"/>
      <c r="L23" s="41"/>
    </row>
    <row r="24" spans="1:19" ht="12" customHeight="1" collapsed="1" x14ac:dyDescent="0.25">
      <c r="A24" s="45"/>
      <c r="B24" s="42"/>
      <c r="C24" s="41"/>
      <c r="D24" s="41"/>
      <c r="E24" s="41"/>
      <c r="F24" s="41"/>
      <c r="G24" s="41"/>
      <c r="H24" s="41"/>
      <c r="I24" s="41"/>
      <c r="J24" s="41"/>
      <c r="K24" s="41"/>
      <c r="L24" s="41"/>
    </row>
    <row r="25" spans="1:19" ht="27" hidden="1" thickBot="1" x14ac:dyDescent="0.35">
      <c r="A25" s="46" t="s">
        <v>45</v>
      </c>
      <c r="B25" s="39"/>
      <c r="C25" s="39"/>
      <c r="D25" s="39"/>
      <c r="E25" s="39"/>
      <c r="F25" s="39"/>
      <c r="G25" s="39"/>
      <c r="H25" s="39"/>
      <c r="I25" s="39"/>
      <c r="J25" s="39"/>
      <c r="K25" s="39"/>
      <c r="L25" s="39"/>
      <c r="M25" s="36"/>
      <c r="N25" s="36"/>
      <c r="O25" s="36"/>
      <c r="P25" s="36"/>
      <c r="Q25" s="36"/>
      <c r="R25" s="36"/>
      <c r="S25" s="36"/>
    </row>
    <row r="26" spans="1:19" s="38" customFormat="1" ht="42" hidden="1" customHeight="1" x14ac:dyDescent="0.25">
      <c r="A26" s="35"/>
      <c r="B26" s="41"/>
      <c r="C26" s="43" t="s">
        <v>46</v>
      </c>
      <c r="D26" s="43"/>
      <c r="E26" s="44" t="s">
        <v>47</v>
      </c>
      <c r="F26" s="44" t="s">
        <v>48</v>
      </c>
      <c r="G26" s="41"/>
      <c r="H26" s="41"/>
      <c r="I26" s="41"/>
      <c r="J26" s="41"/>
      <c r="K26" s="41"/>
      <c r="L26" s="41"/>
    </row>
    <row r="27" spans="1:19" s="38" customFormat="1" ht="42" hidden="1" customHeight="1" x14ac:dyDescent="0.25">
      <c r="A27" s="58"/>
      <c r="B27" s="53"/>
      <c r="C27" s="59" t="s">
        <v>49</v>
      </c>
      <c r="D27" s="59"/>
      <c r="E27" s="60" t="s">
        <v>50</v>
      </c>
      <c r="F27" s="60" t="s">
        <v>51</v>
      </c>
      <c r="G27" s="53"/>
      <c r="H27" s="53"/>
      <c r="I27" s="53"/>
      <c r="J27" s="53"/>
      <c r="K27" s="53"/>
      <c r="L27" s="53"/>
      <c r="M27" s="61"/>
      <c r="N27" s="61"/>
      <c r="O27" s="61"/>
      <c r="P27" s="61"/>
      <c r="Q27" s="61"/>
      <c r="R27" s="61"/>
      <c r="S27" s="61"/>
    </row>
    <row r="28" spans="1:19" s="38" customFormat="1" ht="42" hidden="1" customHeight="1" x14ac:dyDescent="0.25">
      <c r="A28" s="58"/>
      <c r="B28" s="53"/>
      <c r="C28" s="59" t="s">
        <v>52</v>
      </c>
      <c r="D28" s="59"/>
      <c r="E28" s="60" t="s">
        <v>53</v>
      </c>
      <c r="F28" s="60"/>
      <c r="G28" s="53"/>
      <c r="H28" s="53"/>
      <c r="I28" s="53"/>
      <c r="J28" s="53"/>
      <c r="K28" s="53"/>
      <c r="L28" s="53"/>
      <c r="M28" s="61"/>
      <c r="N28" s="61"/>
      <c r="O28" s="61"/>
      <c r="P28" s="61"/>
      <c r="Q28" s="61"/>
      <c r="R28" s="61"/>
      <c r="S28" s="61"/>
    </row>
    <row r="29" spans="1:19" s="38" customFormat="1" ht="42" hidden="1" customHeight="1" x14ac:dyDescent="0.25">
      <c r="A29" s="58"/>
      <c r="B29" s="53"/>
      <c r="C29" s="59"/>
      <c r="D29" s="59"/>
      <c r="E29" s="60" t="s">
        <v>54</v>
      </c>
      <c r="F29" s="60"/>
      <c r="G29" s="53"/>
      <c r="H29" s="53"/>
      <c r="I29" s="53"/>
      <c r="J29" s="53"/>
      <c r="K29" s="53"/>
      <c r="L29" s="53"/>
      <c r="M29" s="61"/>
      <c r="N29" s="61"/>
      <c r="O29" s="61"/>
      <c r="P29" s="61"/>
      <c r="Q29" s="61"/>
      <c r="R29" s="61"/>
      <c r="S29" s="61"/>
    </row>
    <row r="30" spans="1:19" s="38" customFormat="1" ht="42" hidden="1" customHeight="1" x14ac:dyDescent="0.25">
      <c r="A30" s="58"/>
      <c r="B30" s="53"/>
      <c r="C30" s="59"/>
      <c r="D30" s="59"/>
      <c r="E30" s="60" t="s">
        <v>55</v>
      </c>
      <c r="F30" s="60"/>
      <c r="G30" s="53"/>
      <c r="H30" s="53"/>
      <c r="I30" s="53"/>
      <c r="J30" s="53"/>
      <c r="K30" s="53"/>
      <c r="L30" s="53"/>
      <c r="M30" s="61"/>
      <c r="N30" s="61"/>
      <c r="O30" s="61"/>
      <c r="P30" s="61"/>
      <c r="Q30" s="61"/>
      <c r="R30" s="61"/>
      <c r="S30" s="61"/>
    </row>
    <row r="31" spans="1:19" s="38" customFormat="1" ht="42" customHeight="1" x14ac:dyDescent="0.25">
      <c r="A31" s="35"/>
      <c r="B31" s="41"/>
      <c r="C31" s="43"/>
      <c r="D31" s="43"/>
      <c r="E31" s="44"/>
      <c r="F31" s="44"/>
      <c r="G31" s="41"/>
      <c r="H31" s="41"/>
      <c r="I31" s="41"/>
      <c r="J31" s="41"/>
      <c r="K31" s="41"/>
      <c r="L31" s="41"/>
    </row>
    <row r="32" spans="1:19" s="38" customFormat="1" ht="27" thickBot="1" x14ac:dyDescent="0.3">
      <c r="A32" s="46" t="s">
        <v>339</v>
      </c>
      <c r="B32" s="46"/>
      <c r="C32" s="46"/>
      <c r="D32" s="46"/>
      <c r="E32" s="46"/>
      <c r="F32" s="46"/>
      <c r="G32" s="46"/>
      <c r="H32" s="46"/>
      <c r="I32" s="46"/>
      <c r="J32" s="46"/>
      <c r="K32" s="46"/>
      <c r="L32" s="46"/>
    </row>
    <row r="33" spans="1:19" ht="6.6" customHeight="1" x14ac:dyDescent="0.25"/>
    <row r="34" spans="1:19" s="38" customFormat="1" ht="21" x14ac:dyDescent="0.25">
      <c r="A34" s="35"/>
      <c r="B34" s="41"/>
      <c r="C34" s="126" t="s">
        <v>331</v>
      </c>
      <c r="D34" s="126"/>
      <c r="E34" s="126"/>
      <c r="F34" s="127"/>
      <c r="G34" s="57"/>
      <c r="H34" s="57"/>
      <c r="I34" s="57"/>
      <c r="J34" s="57"/>
      <c r="K34" s="57"/>
      <c r="L34" s="160"/>
      <c r="M34" s="161"/>
      <c r="N34" s="161"/>
      <c r="O34" s="161"/>
      <c r="P34" s="161"/>
      <c r="Q34" s="161"/>
      <c r="R34" s="161"/>
      <c r="S34" s="161"/>
    </row>
    <row r="35" spans="1:19" s="38" customFormat="1" ht="42" x14ac:dyDescent="0.25">
      <c r="A35" s="35"/>
      <c r="B35" s="41"/>
      <c r="C35" s="144" t="s">
        <v>330</v>
      </c>
      <c r="D35" s="53"/>
      <c r="E35" s="60"/>
      <c r="F35" s="60"/>
      <c r="G35" s="53"/>
      <c r="H35" s="53"/>
      <c r="I35" s="53"/>
      <c r="J35" s="53"/>
      <c r="K35" s="53"/>
      <c r="L35" s="41"/>
    </row>
    <row r="36" spans="1:19" s="38" customFormat="1" ht="21" x14ac:dyDescent="0.25">
      <c r="A36" s="35"/>
      <c r="B36" s="41"/>
      <c r="C36" s="152" t="s">
        <v>332</v>
      </c>
      <c r="D36" s="50"/>
      <c r="E36" s="60"/>
      <c r="F36" s="60"/>
      <c r="G36" s="53"/>
      <c r="H36" s="53"/>
      <c r="I36" s="53"/>
      <c r="J36" s="53"/>
      <c r="K36" s="53"/>
      <c r="L36" s="41"/>
    </row>
    <row r="37" spans="1:19" s="38" customFormat="1" ht="21" x14ac:dyDescent="0.25">
      <c r="A37" s="35"/>
      <c r="B37" s="41"/>
      <c r="C37" s="153" t="s">
        <v>333</v>
      </c>
      <c r="D37" s="159"/>
      <c r="E37" s="51"/>
      <c r="F37" s="51"/>
      <c r="G37" s="53"/>
      <c r="H37" s="53"/>
      <c r="I37" s="53"/>
      <c r="J37" s="53"/>
      <c r="K37" s="53"/>
      <c r="L37" s="41"/>
    </row>
    <row r="38" spans="1:19" s="38" customFormat="1" ht="21" x14ac:dyDescent="0.25">
      <c r="A38" s="35"/>
      <c r="B38" s="41"/>
      <c r="C38" s="59"/>
      <c r="D38" s="59"/>
      <c r="E38" s="126" t="s">
        <v>337</v>
      </c>
      <c r="F38" s="127"/>
      <c r="G38" s="57"/>
      <c r="H38" s="57"/>
      <c r="I38" s="53"/>
      <c r="J38" s="53"/>
      <c r="K38" s="53"/>
      <c r="L38" s="41"/>
    </row>
    <row r="39" spans="1:19" s="38" customFormat="1" ht="21" x14ac:dyDescent="0.25">
      <c r="A39" s="35"/>
      <c r="B39" s="41"/>
      <c r="C39" s="59"/>
      <c r="D39" s="59"/>
      <c r="E39" s="128"/>
      <c r="F39" s="126" t="s">
        <v>334</v>
      </c>
      <c r="G39" s="126"/>
      <c r="H39" s="126"/>
      <c r="I39" s="53"/>
      <c r="J39" s="53"/>
      <c r="K39" s="53"/>
      <c r="L39" s="41"/>
    </row>
    <row r="40" spans="1:19" ht="21" x14ac:dyDescent="0.25">
      <c r="A40" s="35"/>
      <c r="B40" s="41"/>
      <c r="C40" s="59"/>
      <c r="D40" s="59"/>
      <c r="E40" s="60"/>
      <c r="F40" s="126" t="s">
        <v>336</v>
      </c>
      <c r="G40" s="57"/>
      <c r="H40" s="57"/>
      <c r="I40" s="57"/>
      <c r="J40" s="57"/>
      <c r="K40" s="53"/>
      <c r="L40" s="41"/>
      <c r="M40" s="38"/>
      <c r="N40" s="38"/>
      <c r="O40" s="38"/>
      <c r="P40" s="38"/>
      <c r="Q40" s="38"/>
      <c r="R40" s="38"/>
      <c r="S40" s="38"/>
    </row>
    <row r="41" spans="1:19" s="38" customFormat="1" ht="21" x14ac:dyDescent="0.25">
      <c r="A41" s="35"/>
      <c r="B41" s="41"/>
      <c r="C41" s="59"/>
      <c r="D41" s="59"/>
      <c r="E41" s="126" t="s">
        <v>338</v>
      </c>
      <c r="F41" s="127"/>
      <c r="G41" s="57"/>
      <c r="H41" s="57"/>
      <c r="I41" s="53"/>
      <c r="J41" s="53"/>
      <c r="K41" s="53"/>
      <c r="L41" s="41"/>
    </row>
    <row r="42" spans="1:19" s="38" customFormat="1" ht="21" x14ac:dyDescent="0.25">
      <c r="A42" s="35"/>
      <c r="B42" s="41"/>
      <c r="C42" s="59"/>
      <c r="D42" s="59"/>
      <c r="E42" s="128"/>
      <c r="F42" s="60"/>
      <c r="G42" s="53"/>
      <c r="H42" s="126" t="s">
        <v>335</v>
      </c>
      <c r="I42" s="126"/>
      <c r="J42" s="126"/>
      <c r="K42" s="53"/>
      <c r="L42" s="41"/>
    </row>
    <row r="44" spans="1:19" ht="27" hidden="1" thickBot="1" x14ac:dyDescent="0.3">
      <c r="A44" s="46" t="s">
        <v>62</v>
      </c>
      <c r="B44" s="39"/>
      <c r="C44" s="39"/>
      <c r="D44" s="39"/>
      <c r="E44" s="39"/>
      <c r="F44" s="39"/>
      <c r="G44" s="39"/>
      <c r="H44" s="39"/>
      <c r="I44" s="39"/>
      <c r="J44" s="39"/>
      <c r="K44" s="39"/>
      <c r="L44" s="39"/>
    </row>
    <row r="45" spans="1:19" ht="42" hidden="1" x14ac:dyDescent="0.25">
      <c r="A45" s="8"/>
      <c r="B45" s="8"/>
      <c r="C45" s="43" t="s">
        <v>63</v>
      </c>
      <c r="D45" s="43" t="s">
        <v>64</v>
      </c>
      <c r="E45" s="43" t="s">
        <v>65</v>
      </c>
      <c r="F45" s="43"/>
      <c r="G45" s="43"/>
      <c r="H45" s="8"/>
      <c r="I45" s="8"/>
      <c r="J45" s="8"/>
      <c r="K45" s="8"/>
      <c r="L45" s="8"/>
    </row>
    <row r="46" spans="1:19" ht="63" hidden="1" x14ac:dyDescent="0.25">
      <c r="A46" s="8"/>
      <c r="B46" s="8"/>
      <c r="C46" s="43" t="s">
        <v>66</v>
      </c>
      <c r="D46" s="43" t="s">
        <v>67</v>
      </c>
      <c r="E46" s="43"/>
      <c r="F46" s="43" t="s">
        <v>68</v>
      </c>
      <c r="G46" s="43"/>
      <c r="H46" s="8"/>
      <c r="I46" s="8"/>
      <c r="J46" s="8"/>
      <c r="K46" s="8"/>
      <c r="L46" s="8"/>
    </row>
    <row r="47" spans="1:19" ht="63" hidden="1" x14ac:dyDescent="0.25">
      <c r="A47" s="8"/>
      <c r="B47" s="8"/>
      <c r="C47" s="43" t="s">
        <v>69</v>
      </c>
      <c r="D47" s="43" t="s">
        <v>70</v>
      </c>
      <c r="E47" s="43"/>
      <c r="F47" s="43"/>
      <c r="G47" s="43"/>
      <c r="H47" s="8"/>
      <c r="I47" s="8"/>
      <c r="J47" s="8"/>
      <c r="K47" s="8"/>
      <c r="L47" s="8"/>
    </row>
    <row r="48" spans="1:19" ht="63" hidden="1" x14ac:dyDescent="0.25">
      <c r="A48" s="8"/>
      <c r="B48" s="8"/>
      <c r="C48" s="43" t="s">
        <v>71</v>
      </c>
      <c r="D48" s="43" t="s">
        <v>72</v>
      </c>
      <c r="E48" s="43"/>
      <c r="F48" s="43"/>
      <c r="G48" s="43"/>
      <c r="H48" s="8"/>
      <c r="I48" s="8"/>
      <c r="J48" s="8"/>
      <c r="K48" s="8"/>
      <c r="L48" s="8"/>
    </row>
    <row r="49" spans="2:7" ht="21" hidden="1" x14ac:dyDescent="0.25">
      <c r="B49" s="45" t="s">
        <v>73</v>
      </c>
      <c r="C49" s="43"/>
      <c r="D49" s="43"/>
      <c r="E49" s="43"/>
      <c r="F49" s="43"/>
      <c r="G49" s="43"/>
    </row>
    <row r="50" spans="2:7" ht="21" hidden="1" x14ac:dyDescent="0.25">
      <c r="C50" s="43" t="s">
        <v>74</v>
      </c>
      <c r="D50" s="43"/>
      <c r="E50" s="43"/>
      <c r="F50" s="43" t="s">
        <v>75</v>
      </c>
      <c r="G50" s="43"/>
    </row>
    <row r="51" spans="2:7" ht="21" x14ac:dyDescent="0.25">
      <c r="C51" s="43"/>
      <c r="D51" s="43"/>
      <c r="E51" s="43"/>
      <c r="F51" s="43"/>
      <c r="G51" s="43"/>
    </row>
    <row r="52" spans="2:7" ht="21" x14ac:dyDescent="0.25">
      <c r="C52" s="43"/>
      <c r="D52" s="43"/>
      <c r="E52" s="43"/>
      <c r="F52" s="43"/>
      <c r="G52" s="43"/>
    </row>
    <row r="53" spans="2:7" ht="21" x14ac:dyDescent="0.25">
      <c r="C53" s="43"/>
      <c r="D53" s="43"/>
      <c r="E53" s="43"/>
      <c r="F53" s="43"/>
      <c r="G53" s="43"/>
    </row>
    <row r="54" spans="2:7" ht="21" x14ac:dyDescent="0.25">
      <c r="C54" s="43"/>
      <c r="D54" s="43"/>
      <c r="E54" s="43"/>
      <c r="F54" s="43"/>
      <c r="G54" s="43"/>
    </row>
    <row r="55" spans="2:7" ht="21" x14ac:dyDescent="0.25">
      <c r="C55" s="43"/>
      <c r="D55" s="43"/>
      <c r="E55" s="43"/>
      <c r="F55" s="43"/>
      <c r="G55" s="43"/>
    </row>
    <row r="56" spans="2:7" ht="21" x14ac:dyDescent="0.25">
      <c r="C56" s="43"/>
      <c r="D56" s="43"/>
      <c r="E56" s="43"/>
      <c r="F56" s="43"/>
      <c r="G56" s="43"/>
    </row>
    <row r="57" spans="2:7" ht="21" x14ac:dyDescent="0.25">
      <c r="C57" s="43"/>
      <c r="D57" s="43"/>
      <c r="E57" s="43"/>
      <c r="F57" s="43"/>
      <c r="G57" s="43"/>
    </row>
    <row r="58" spans="2:7" ht="21" x14ac:dyDescent="0.25">
      <c r="C58" s="43"/>
      <c r="D58" s="43"/>
      <c r="E58" s="43"/>
      <c r="F58" s="43"/>
      <c r="G58" s="43"/>
    </row>
    <row r="59" spans="2:7" ht="21" x14ac:dyDescent="0.25">
      <c r="C59" s="43"/>
      <c r="D59" s="43"/>
      <c r="E59" s="43"/>
      <c r="F59" s="43"/>
      <c r="G59" s="43"/>
    </row>
    <row r="60" spans="2:7" ht="21" x14ac:dyDescent="0.25">
      <c r="C60" s="43"/>
      <c r="D60" s="43"/>
      <c r="E60" s="43"/>
      <c r="F60" s="43"/>
      <c r="G60" s="43"/>
    </row>
  </sheetData>
  <phoneticPr fontId="17" type="noConversion"/>
  <pageMargins left="0.4" right="0.4" top="0.75" bottom="0.75" header="0.3" footer="0.3"/>
  <pageSetup paperSize="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153BC-DBB2-4F61-843F-930CC6A9FF4D}">
  <dimension ref="A2:J33"/>
  <sheetViews>
    <sheetView workbookViewId="0"/>
  </sheetViews>
  <sheetFormatPr defaultRowHeight="15" outlineLevelRow="1" outlineLevelCol="1" x14ac:dyDescent="0.25"/>
  <cols>
    <col min="1" max="1" width="37.7109375" customWidth="1"/>
    <col min="2" max="2" width="4" customWidth="1"/>
    <col min="3" max="9" width="27.7109375" customWidth="1" outlineLevel="1"/>
    <col min="10" max="10" width="27.7109375" hidden="1" customWidth="1" outlineLevel="1"/>
  </cols>
  <sheetData>
    <row r="2" spans="1:10" ht="36.75" thickBot="1" x14ac:dyDescent="0.6">
      <c r="A2" s="47" t="s">
        <v>318</v>
      </c>
      <c r="B2" s="47"/>
      <c r="C2" s="47"/>
      <c r="D2" s="47"/>
      <c r="E2" s="47"/>
      <c r="F2" s="47"/>
      <c r="G2" s="47"/>
      <c r="H2" s="47"/>
      <c r="I2" s="47"/>
      <c r="J2" s="47"/>
    </row>
    <row r="3" spans="1:10" ht="15.75" thickTop="1" x14ac:dyDescent="0.25"/>
    <row r="4" spans="1:10" ht="26.25" x14ac:dyDescent="0.25">
      <c r="A4" s="40"/>
      <c r="B4" s="40"/>
      <c r="C4" s="40" t="s">
        <v>76</v>
      </c>
      <c r="D4" s="40" t="s">
        <v>77</v>
      </c>
      <c r="E4" s="40" t="s">
        <v>78</v>
      </c>
      <c r="F4" s="40" t="s">
        <v>79</v>
      </c>
      <c r="G4" s="40" t="s">
        <v>80</v>
      </c>
      <c r="H4" s="40" t="s">
        <v>81</v>
      </c>
      <c r="I4" s="40" t="s">
        <v>82</v>
      </c>
      <c r="J4" s="40" t="s">
        <v>83</v>
      </c>
    </row>
    <row r="5" spans="1:10" s="37" customFormat="1" ht="42" x14ac:dyDescent="0.25">
      <c r="B5" s="41"/>
      <c r="C5" s="41"/>
      <c r="D5" s="41"/>
      <c r="E5" s="62" t="s">
        <v>16</v>
      </c>
      <c r="F5" s="41"/>
      <c r="G5" s="62" t="s">
        <v>84</v>
      </c>
      <c r="H5" s="41"/>
      <c r="I5" s="41"/>
      <c r="J5" s="41"/>
    </row>
    <row r="6" spans="1:10" ht="27" thickBot="1" x14ac:dyDescent="0.3">
      <c r="A6" s="46" t="s">
        <v>17</v>
      </c>
      <c r="B6" s="46"/>
      <c r="C6" s="46"/>
      <c r="D6" s="46"/>
      <c r="E6" s="46"/>
      <c r="F6" s="46"/>
      <c r="G6" s="46"/>
      <c r="H6" s="46"/>
      <c r="I6" s="46"/>
      <c r="J6" s="46"/>
    </row>
    <row r="7" spans="1:10" ht="60" customHeight="1" x14ac:dyDescent="0.25">
      <c r="A7" s="48" t="s">
        <v>316</v>
      </c>
      <c r="B7" s="49"/>
      <c r="C7" s="144" t="s">
        <v>19</v>
      </c>
      <c r="D7" s="50" t="s">
        <v>19</v>
      </c>
      <c r="E7" s="50" t="s">
        <v>85</v>
      </c>
      <c r="F7" s="50" t="s">
        <v>85</v>
      </c>
      <c r="G7" s="50" t="s">
        <v>85</v>
      </c>
      <c r="H7" s="50" t="s">
        <v>85</v>
      </c>
      <c r="I7" s="50" t="s">
        <v>85</v>
      </c>
      <c r="J7" s="50" t="s">
        <v>85</v>
      </c>
    </row>
    <row r="8" spans="1:10" ht="42" customHeight="1" x14ac:dyDescent="0.25">
      <c r="A8" s="48" t="s">
        <v>22</v>
      </c>
      <c r="B8" s="49"/>
      <c r="C8" s="144" t="s">
        <v>86</v>
      </c>
      <c r="D8" s="56" t="s">
        <v>87</v>
      </c>
      <c r="E8" s="53"/>
      <c r="F8" s="53"/>
      <c r="G8" s="53"/>
      <c r="H8" s="53"/>
      <c r="I8" s="53"/>
      <c r="J8" s="53"/>
    </row>
    <row r="9" spans="1:10" ht="8.4499999999999993" customHeight="1" x14ac:dyDescent="0.25">
      <c r="A9" s="54"/>
      <c r="B9" s="54"/>
      <c r="C9" s="54"/>
      <c r="D9" s="54"/>
      <c r="E9" s="54"/>
      <c r="F9" s="54"/>
      <c r="G9" s="54"/>
      <c r="H9" s="54"/>
      <c r="I9" s="54"/>
      <c r="J9" s="54"/>
    </row>
    <row r="10" spans="1:10" ht="42" customHeight="1" x14ac:dyDescent="0.25">
      <c r="A10" s="48" t="s">
        <v>28</v>
      </c>
      <c r="B10" s="49"/>
      <c r="C10" s="144" t="s">
        <v>88</v>
      </c>
      <c r="D10" s="56" t="s">
        <v>89</v>
      </c>
      <c r="E10" s="54"/>
      <c r="F10" s="54"/>
      <c r="G10" s="54"/>
      <c r="H10" s="54"/>
      <c r="I10" s="54"/>
      <c r="J10" s="54"/>
    </row>
    <row r="11" spans="1:10" ht="42" customHeight="1" outlineLevel="1" x14ac:dyDescent="0.25">
      <c r="A11" s="48" t="s">
        <v>33</v>
      </c>
      <c r="B11" s="49"/>
      <c r="C11" s="144" t="s">
        <v>21</v>
      </c>
      <c r="D11" s="53"/>
      <c r="E11" s="56" t="s">
        <v>89</v>
      </c>
      <c r="F11" s="53"/>
      <c r="G11" s="53"/>
      <c r="H11" s="53"/>
      <c r="I11" s="53"/>
      <c r="J11" s="53"/>
    </row>
    <row r="12" spans="1:10" ht="42" customHeight="1" outlineLevel="1" x14ac:dyDescent="0.25">
      <c r="A12" s="48" t="s">
        <v>34</v>
      </c>
      <c r="B12" s="49"/>
      <c r="C12" s="144" t="s">
        <v>21</v>
      </c>
      <c r="D12" s="53"/>
      <c r="E12" s="56" t="s">
        <v>89</v>
      </c>
      <c r="F12" s="53"/>
      <c r="G12" s="53"/>
      <c r="H12" s="53"/>
      <c r="I12" s="53"/>
      <c r="J12" s="53"/>
    </row>
    <row r="13" spans="1:10" ht="42" customHeight="1" outlineLevel="1" x14ac:dyDescent="0.25">
      <c r="A13" s="48" t="s">
        <v>35</v>
      </c>
      <c r="B13" s="49"/>
      <c r="C13" s="144" t="s">
        <v>21</v>
      </c>
      <c r="D13" s="53"/>
      <c r="E13" s="56" t="s">
        <v>89</v>
      </c>
      <c r="F13" s="53"/>
      <c r="G13" s="53"/>
      <c r="H13" s="53"/>
      <c r="I13" s="53"/>
      <c r="J13" s="53"/>
    </row>
    <row r="14" spans="1:10" ht="42" customHeight="1" outlineLevel="1" x14ac:dyDescent="0.25">
      <c r="A14" s="48" t="s">
        <v>36</v>
      </c>
      <c r="B14" s="49"/>
      <c r="C14" s="144" t="s">
        <v>21</v>
      </c>
      <c r="D14" s="53"/>
      <c r="E14" s="56" t="s">
        <v>89</v>
      </c>
      <c r="F14" s="53"/>
      <c r="G14" s="53"/>
      <c r="H14" s="53"/>
      <c r="I14" s="53"/>
      <c r="J14" s="53"/>
    </row>
    <row r="15" spans="1:10" ht="42" customHeight="1" outlineLevel="1" x14ac:dyDescent="0.25">
      <c r="A15" s="48" t="s">
        <v>37</v>
      </c>
      <c r="B15" s="49"/>
      <c r="C15" s="144" t="s">
        <v>21</v>
      </c>
      <c r="D15" s="53"/>
      <c r="E15" s="56" t="s">
        <v>89</v>
      </c>
      <c r="F15" s="53"/>
      <c r="G15" s="53"/>
      <c r="H15" s="53"/>
      <c r="I15" s="53"/>
      <c r="J15" s="53"/>
    </row>
    <row r="16" spans="1:10" ht="42" customHeight="1" outlineLevel="1" x14ac:dyDescent="0.25">
      <c r="A16" s="48" t="s">
        <v>38</v>
      </c>
      <c r="B16" s="49"/>
      <c r="C16" s="144" t="s">
        <v>21</v>
      </c>
      <c r="D16" s="53"/>
      <c r="E16" s="145" t="s">
        <v>90</v>
      </c>
      <c r="F16" s="56" t="s">
        <v>87</v>
      </c>
      <c r="G16" s="53"/>
      <c r="H16" s="53"/>
      <c r="I16" s="53"/>
      <c r="J16" s="53"/>
    </row>
    <row r="17" spans="1:10" ht="42" customHeight="1" outlineLevel="1" x14ac:dyDescent="0.25">
      <c r="A17" s="48" t="s">
        <v>39</v>
      </c>
      <c r="B17" s="49"/>
      <c r="C17" s="144" t="s">
        <v>21</v>
      </c>
      <c r="D17" s="53"/>
      <c r="E17" s="145" t="s">
        <v>90</v>
      </c>
      <c r="F17" s="56" t="s">
        <v>87</v>
      </c>
      <c r="G17" s="53"/>
      <c r="H17" s="53"/>
      <c r="I17" s="53"/>
      <c r="J17" s="53"/>
    </row>
    <row r="18" spans="1:10" ht="42" hidden="1" customHeight="1" x14ac:dyDescent="0.25">
      <c r="A18" s="48" t="s">
        <v>40</v>
      </c>
      <c r="B18" s="49"/>
      <c r="C18" s="144" t="s">
        <v>91</v>
      </c>
      <c r="D18" s="53"/>
      <c r="E18" s="53"/>
      <c r="F18" s="53"/>
      <c r="G18" s="53"/>
      <c r="H18" s="53"/>
      <c r="I18" s="53"/>
      <c r="J18" s="53"/>
    </row>
    <row r="19" spans="1:10" ht="9.6" customHeight="1" x14ac:dyDescent="0.25">
      <c r="A19" s="139"/>
      <c r="B19" s="42"/>
      <c r="C19" s="41"/>
      <c r="D19" s="41"/>
      <c r="E19" s="41"/>
      <c r="F19" s="41"/>
      <c r="G19" s="41"/>
      <c r="H19" s="41"/>
      <c r="I19" s="41"/>
      <c r="J19" s="41"/>
    </row>
    <row r="20" spans="1:10" ht="42" customHeight="1" x14ac:dyDescent="0.25">
      <c r="A20" s="48" t="s">
        <v>42</v>
      </c>
      <c r="B20" s="48"/>
      <c r="C20" s="48"/>
      <c r="D20" s="53"/>
      <c r="E20" s="53"/>
      <c r="F20" s="145" t="s">
        <v>90</v>
      </c>
      <c r="G20" s="56" t="s">
        <v>87</v>
      </c>
      <c r="H20" s="53"/>
      <c r="I20" s="53"/>
      <c r="J20" s="53"/>
    </row>
    <row r="21" spans="1:10" ht="42" customHeight="1" x14ac:dyDescent="0.25">
      <c r="A21" s="48" t="s">
        <v>43</v>
      </c>
      <c r="B21" s="48"/>
      <c r="C21" s="48"/>
      <c r="D21" s="53"/>
      <c r="E21" s="53"/>
      <c r="F21" s="145" t="s">
        <v>90</v>
      </c>
      <c r="G21" s="56" t="s">
        <v>87</v>
      </c>
      <c r="H21" s="53"/>
      <c r="I21" s="53"/>
      <c r="J21" s="53"/>
    </row>
    <row r="22" spans="1:10" ht="42" customHeight="1" x14ac:dyDescent="0.25">
      <c r="A22" s="48" t="s">
        <v>44</v>
      </c>
      <c r="B22" s="48"/>
      <c r="C22" s="48"/>
      <c r="D22" s="53"/>
      <c r="E22" s="53"/>
      <c r="F22" s="53"/>
      <c r="G22" s="53"/>
      <c r="H22" s="53"/>
      <c r="I22" s="56" t="s">
        <v>89</v>
      </c>
      <c r="J22" s="53"/>
    </row>
    <row r="23" spans="1:10" ht="42" customHeight="1" x14ac:dyDescent="0.25">
      <c r="A23" s="48"/>
      <c r="B23" s="48"/>
      <c r="C23" s="48"/>
      <c r="D23" s="53"/>
      <c r="E23" s="53"/>
      <c r="F23" s="53"/>
      <c r="G23" s="53"/>
      <c r="H23" s="53"/>
      <c r="I23" s="53"/>
      <c r="J23" s="53"/>
    </row>
    <row r="24" spans="1:10" ht="42" customHeight="1" x14ac:dyDescent="0.25">
      <c r="A24" s="48"/>
      <c r="B24" s="48"/>
      <c r="C24" s="48"/>
      <c r="D24" s="53"/>
      <c r="E24" s="53"/>
      <c r="F24" s="53"/>
      <c r="G24" s="53"/>
      <c r="H24" s="53"/>
      <c r="I24" s="53"/>
      <c r="J24" s="53"/>
    </row>
    <row r="25" spans="1:10" ht="12" customHeight="1" x14ac:dyDescent="0.25">
      <c r="A25" s="45"/>
      <c r="B25" s="42"/>
      <c r="C25" s="41"/>
      <c r="D25" s="41"/>
      <c r="E25" s="41"/>
      <c r="F25" s="41"/>
      <c r="G25" s="41"/>
      <c r="H25" s="41"/>
      <c r="I25" s="41"/>
      <c r="J25" s="41"/>
    </row>
    <row r="26" spans="1:10" ht="21" x14ac:dyDescent="0.25">
      <c r="C26" s="43"/>
      <c r="D26" s="43"/>
      <c r="E26" s="43"/>
      <c r="F26" s="43"/>
      <c r="G26" s="43"/>
    </row>
    <row r="27" spans="1:10" ht="21" x14ac:dyDescent="0.25">
      <c r="C27" s="43"/>
      <c r="D27" s="43"/>
      <c r="E27" s="43"/>
      <c r="F27" s="43"/>
      <c r="G27" s="43"/>
    </row>
    <row r="28" spans="1:10" ht="21" x14ac:dyDescent="0.25">
      <c r="C28" s="43"/>
      <c r="D28" s="43"/>
      <c r="E28" s="43"/>
      <c r="F28" s="43"/>
      <c r="G28" s="43"/>
    </row>
    <row r="29" spans="1:10" ht="21" x14ac:dyDescent="0.25">
      <c r="C29" s="43"/>
      <c r="D29" s="43"/>
      <c r="E29" s="43"/>
      <c r="F29" s="43"/>
      <c r="G29" s="43"/>
    </row>
    <row r="30" spans="1:10" ht="21" x14ac:dyDescent="0.25">
      <c r="C30" s="43"/>
      <c r="D30" s="43"/>
      <c r="E30" s="43"/>
      <c r="F30" s="43"/>
      <c r="G30" s="43"/>
    </row>
    <row r="31" spans="1:10" ht="21" x14ac:dyDescent="0.25">
      <c r="C31" s="43"/>
      <c r="D31" s="43"/>
      <c r="E31" s="43"/>
      <c r="F31" s="43"/>
      <c r="G31" s="43"/>
    </row>
    <row r="32" spans="1:10" ht="21" x14ac:dyDescent="0.25">
      <c r="C32" s="43"/>
      <c r="D32" s="43"/>
      <c r="E32" s="43"/>
      <c r="F32" s="43"/>
      <c r="G32" s="43"/>
    </row>
    <row r="33" spans="3:7" ht="21" x14ac:dyDescent="0.25">
      <c r="C33" s="43"/>
      <c r="D33" s="43"/>
      <c r="E33" s="43"/>
      <c r="F33" s="43"/>
      <c r="G33" s="43"/>
    </row>
  </sheetData>
  <pageMargins left="0.4" right="0.4"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0F018-02D6-4178-846F-00D20906C4A7}">
  <dimension ref="B2:I20"/>
  <sheetViews>
    <sheetView workbookViewId="0"/>
  </sheetViews>
  <sheetFormatPr defaultRowHeight="15" x14ac:dyDescent="0.25"/>
  <cols>
    <col min="2" max="2" width="21.7109375" bestFit="1" customWidth="1"/>
    <col min="3" max="3" width="11.28515625" customWidth="1"/>
    <col min="4" max="5" width="9.140625" bestFit="1" customWidth="1"/>
    <col min="6" max="9" width="10.7109375" bestFit="1" customWidth="1"/>
  </cols>
  <sheetData>
    <row r="2" spans="2:9" ht="21.75" thickBot="1" x14ac:dyDescent="0.4">
      <c r="B2" s="1" t="s">
        <v>92</v>
      </c>
      <c r="C2" s="1"/>
      <c r="D2" s="1"/>
      <c r="E2" s="1"/>
      <c r="F2" s="1"/>
      <c r="G2" s="1"/>
      <c r="H2" s="1"/>
      <c r="I2" s="1"/>
    </row>
    <row r="3" spans="2:9" ht="15.75" thickTop="1" x14ac:dyDescent="0.25"/>
    <row r="4" spans="2:9" x14ac:dyDescent="0.25">
      <c r="B4" s="64" t="s">
        <v>93</v>
      </c>
      <c r="C4" s="64" t="s">
        <v>94</v>
      </c>
      <c r="D4" s="2">
        <v>2025</v>
      </c>
      <c r="E4" s="2">
        <v>2026</v>
      </c>
      <c r="F4" s="2">
        <v>2027</v>
      </c>
      <c r="G4" s="2">
        <v>2028</v>
      </c>
      <c r="H4" s="2">
        <v>2029</v>
      </c>
      <c r="I4" s="2">
        <v>2030</v>
      </c>
    </row>
    <row r="5" spans="2:9" x14ac:dyDescent="0.25">
      <c r="B5" t="s">
        <v>95</v>
      </c>
      <c r="C5" s="67">
        <v>200000</v>
      </c>
      <c r="D5" s="65">
        <v>1</v>
      </c>
      <c r="E5" s="65">
        <v>1</v>
      </c>
      <c r="F5" s="65">
        <v>1</v>
      </c>
      <c r="G5" s="65">
        <v>1</v>
      </c>
      <c r="H5" s="65">
        <v>1</v>
      </c>
      <c r="I5" s="65">
        <v>1</v>
      </c>
    </row>
    <row r="6" spans="2:9" x14ac:dyDescent="0.25">
      <c r="B6" t="s">
        <v>96</v>
      </c>
      <c r="C6" s="67">
        <v>250000</v>
      </c>
      <c r="D6" s="65">
        <v>1</v>
      </c>
      <c r="E6" s="65">
        <v>1</v>
      </c>
      <c r="F6" s="65">
        <v>1</v>
      </c>
      <c r="G6" s="65">
        <v>1</v>
      </c>
      <c r="H6" s="65">
        <v>1</v>
      </c>
      <c r="I6" s="65">
        <v>1</v>
      </c>
    </row>
    <row r="7" spans="2:9" x14ac:dyDescent="0.25">
      <c r="B7" t="s">
        <v>97</v>
      </c>
      <c r="C7" s="67">
        <v>175000</v>
      </c>
      <c r="D7" s="65">
        <v>0.5</v>
      </c>
      <c r="E7" s="65">
        <v>1</v>
      </c>
      <c r="F7" s="65">
        <v>1</v>
      </c>
      <c r="G7" s="65">
        <v>1</v>
      </c>
      <c r="H7" s="65">
        <v>1</v>
      </c>
      <c r="I7" s="65">
        <v>1</v>
      </c>
    </row>
    <row r="8" spans="2:9" x14ac:dyDescent="0.25">
      <c r="B8" t="s">
        <v>98</v>
      </c>
      <c r="C8" s="67">
        <v>200000</v>
      </c>
      <c r="D8" s="65"/>
      <c r="E8" s="65"/>
      <c r="F8" s="65">
        <v>1</v>
      </c>
      <c r="G8" s="65">
        <v>1</v>
      </c>
      <c r="H8" s="65">
        <v>1</v>
      </c>
      <c r="I8" s="65">
        <v>1</v>
      </c>
    </row>
    <row r="9" spans="2:9" x14ac:dyDescent="0.25">
      <c r="B9" t="s">
        <v>99</v>
      </c>
      <c r="C9" s="67">
        <v>200000</v>
      </c>
      <c r="D9" s="65"/>
      <c r="E9" s="65"/>
      <c r="F9" s="65">
        <v>0.5</v>
      </c>
      <c r="G9" s="65">
        <v>1</v>
      </c>
      <c r="H9" s="65">
        <v>1</v>
      </c>
      <c r="I9" s="65">
        <v>1</v>
      </c>
    </row>
    <row r="10" spans="2:9" x14ac:dyDescent="0.25">
      <c r="B10" t="s">
        <v>100</v>
      </c>
      <c r="C10" s="67">
        <v>175000</v>
      </c>
      <c r="D10" s="65"/>
      <c r="E10" s="65"/>
      <c r="F10" s="65">
        <v>0.5</v>
      </c>
      <c r="G10" s="65">
        <v>1</v>
      </c>
      <c r="H10" s="65">
        <v>1</v>
      </c>
      <c r="I10" s="65">
        <v>1</v>
      </c>
    </row>
    <row r="11" spans="2:9" x14ac:dyDescent="0.25">
      <c r="B11" t="s">
        <v>101</v>
      </c>
      <c r="C11" s="67">
        <v>200000</v>
      </c>
      <c r="D11" s="65"/>
      <c r="E11" s="65"/>
      <c r="F11" s="65">
        <v>0.5</v>
      </c>
      <c r="G11" s="65">
        <v>1</v>
      </c>
      <c r="H11" s="65">
        <v>1</v>
      </c>
      <c r="I11" s="65">
        <v>1</v>
      </c>
    </row>
    <row r="12" spans="2:9" x14ac:dyDescent="0.25">
      <c r="B12" t="s">
        <v>102</v>
      </c>
      <c r="C12" s="67">
        <v>150000</v>
      </c>
      <c r="D12" s="65"/>
      <c r="E12" s="65"/>
      <c r="F12" s="65">
        <v>0.5</v>
      </c>
      <c r="G12" s="65">
        <v>0.5</v>
      </c>
      <c r="H12" s="65">
        <v>0.5</v>
      </c>
      <c r="I12" s="65">
        <v>0.5</v>
      </c>
    </row>
    <row r="13" spans="2:9" x14ac:dyDescent="0.25">
      <c r="B13" t="s">
        <v>103</v>
      </c>
      <c r="C13" s="67">
        <v>200000</v>
      </c>
      <c r="D13" s="65"/>
      <c r="E13" s="65"/>
      <c r="F13" s="65"/>
      <c r="G13" s="65"/>
      <c r="H13" s="65">
        <v>0.5</v>
      </c>
      <c r="I13" s="65">
        <v>1</v>
      </c>
    </row>
    <row r="14" spans="2:9" x14ac:dyDescent="0.25">
      <c r="B14" t="s">
        <v>104</v>
      </c>
      <c r="C14" s="67">
        <v>200000</v>
      </c>
      <c r="D14" s="65"/>
      <c r="E14" s="65"/>
      <c r="F14" s="65"/>
      <c r="G14" s="65"/>
      <c r="H14" s="65">
        <v>0.25</v>
      </c>
      <c r="I14" s="65">
        <v>0.25</v>
      </c>
    </row>
    <row r="15" spans="2:9" ht="15.75" thickBot="1" x14ac:dyDescent="0.3">
      <c r="B15" s="63" t="s">
        <v>105</v>
      </c>
      <c r="C15" s="63"/>
      <c r="D15" s="63">
        <f>SUM(D5:D14)</f>
        <v>2.5</v>
      </c>
      <c r="E15" s="63">
        <f t="shared" ref="E15:I15" si="0">SUM(E5:E14)</f>
        <v>3</v>
      </c>
      <c r="F15" s="63">
        <f t="shared" si="0"/>
        <v>6</v>
      </c>
      <c r="G15" s="63">
        <f t="shared" si="0"/>
        <v>7.5</v>
      </c>
      <c r="H15" s="63">
        <f t="shared" si="0"/>
        <v>8.25</v>
      </c>
      <c r="I15" s="63">
        <f t="shared" si="0"/>
        <v>8.75</v>
      </c>
    </row>
    <row r="16" spans="2:9" ht="15.75" thickTop="1" x14ac:dyDescent="0.25"/>
    <row r="17" spans="2:9" x14ac:dyDescent="0.25">
      <c r="B17" t="s">
        <v>106</v>
      </c>
      <c r="D17" s="66">
        <f>SUMPRODUCT($C5:$C14,D5:D14)/D15</f>
        <v>215000</v>
      </c>
      <c r="E17" s="66">
        <f t="shared" ref="E17:I17" si="1">SUMPRODUCT($C5:$C14,E5:E14)/E15</f>
        <v>208333.33333333334</v>
      </c>
      <c r="F17" s="66">
        <f t="shared" si="1"/>
        <v>197916.66666666666</v>
      </c>
      <c r="G17" s="66">
        <f t="shared" si="1"/>
        <v>196666.66666666666</v>
      </c>
      <c r="H17" s="66">
        <f t="shared" si="1"/>
        <v>196969.69696969696</v>
      </c>
      <c r="I17" s="66">
        <f t="shared" si="1"/>
        <v>197142.85714285713</v>
      </c>
    </row>
    <row r="18" spans="2:9" x14ac:dyDescent="0.25">
      <c r="B18" t="s">
        <v>107</v>
      </c>
      <c r="D18" s="69">
        <f>D17*D15</f>
        <v>537500</v>
      </c>
      <c r="E18" s="69">
        <f t="shared" ref="E18:I18" si="2">E17*E15</f>
        <v>625000</v>
      </c>
      <c r="F18" s="69">
        <f t="shared" si="2"/>
        <v>1187500</v>
      </c>
      <c r="G18" s="69">
        <f t="shared" si="2"/>
        <v>1475000</v>
      </c>
      <c r="H18" s="69">
        <f t="shared" si="2"/>
        <v>1625000</v>
      </c>
      <c r="I18" s="69">
        <f t="shared" si="2"/>
        <v>1725000</v>
      </c>
    </row>
    <row r="19" spans="2:9" ht="15.75" thickBot="1" x14ac:dyDescent="0.3">
      <c r="B19" s="63" t="s">
        <v>108</v>
      </c>
      <c r="C19" s="63"/>
      <c r="D19" s="68">
        <f>1.24*D18</f>
        <v>666500</v>
      </c>
      <c r="E19" s="68">
        <f t="shared" ref="E19:I19" si="3">1.24*E18</f>
        <v>775000</v>
      </c>
      <c r="F19" s="68">
        <f t="shared" si="3"/>
        <v>1472500</v>
      </c>
      <c r="G19" s="68">
        <f t="shared" si="3"/>
        <v>1829000</v>
      </c>
      <c r="H19" s="68">
        <f t="shared" si="3"/>
        <v>2015000</v>
      </c>
      <c r="I19" s="68">
        <f t="shared" si="3"/>
        <v>2139000</v>
      </c>
    </row>
    <row r="20" spans="2:9" ht="15.75" thickTop="1"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FD4C-CC91-48E4-A117-943127BD2B63}">
  <dimension ref="A1:AN19"/>
  <sheetViews>
    <sheetView topLeftCell="E1" workbookViewId="0">
      <selection activeCell="L15" sqref="L15"/>
    </sheetView>
  </sheetViews>
  <sheetFormatPr defaultColWidth="8.85546875" defaultRowHeight="15" x14ac:dyDescent="0.25"/>
  <cols>
    <col min="1" max="1" width="27.5703125" style="74" bestFit="1" customWidth="1"/>
    <col min="2" max="2" width="15.42578125" style="74" customWidth="1"/>
    <col min="3" max="3" width="14.140625" style="74" bestFit="1" customWidth="1"/>
    <col min="4" max="4" width="18.5703125" style="74" customWidth="1"/>
    <col min="5" max="5" width="17.7109375" style="74" customWidth="1"/>
    <col min="6" max="6" width="19.5703125" style="74" bestFit="1" customWidth="1"/>
    <col min="7" max="11" width="6.140625" style="74" bestFit="1" customWidth="1"/>
    <col min="12" max="14" width="12.5703125" style="74" bestFit="1" customWidth="1"/>
    <col min="15" max="18" width="15.7109375" style="74" bestFit="1" customWidth="1"/>
    <col min="19" max="19" width="15.28515625" style="74" bestFit="1" customWidth="1"/>
    <col min="20" max="20" width="12.5703125" style="74" bestFit="1" customWidth="1"/>
    <col min="21" max="23" width="6.140625" style="74" bestFit="1" customWidth="1"/>
    <col min="24" max="24" width="12.5703125" style="74" bestFit="1" customWidth="1"/>
    <col min="25" max="25" width="15.28515625" style="74" bestFit="1" customWidth="1"/>
    <col min="26" max="27" width="13.7109375" style="74" customWidth="1"/>
    <col min="28" max="28" width="14.28515625" style="74" bestFit="1" customWidth="1"/>
    <col min="29" max="38" width="12.5703125" style="74" bestFit="1" customWidth="1"/>
    <col min="39" max="39" width="8.85546875" style="74"/>
    <col min="40" max="40" width="16.28515625" style="74" bestFit="1" customWidth="1"/>
    <col min="41" max="16384" width="8.85546875" style="74"/>
  </cols>
  <sheetData>
    <row r="1" spans="1:40" s="70" customFormat="1" ht="15.75" x14ac:dyDescent="0.25">
      <c r="C1" s="71"/>
      <c r="D1" s="70" t="s">
        <v>109</v>
      </c>
    </row>
    <row r="2" spans="1:40" s="72" customFormat="1" x14ac:dyDescent="0.25">
      <c r="A2" s="72" t="s">
        <v>110</v>
      </c>
      <c r="B2" s="72" t="s">
        <v>111</v>
      </c>
      <c r="C2" s="73" t="s">
        <v>112</v>
      </c>
      <c r="D2" s="72" t="s">
        <v>113</v>
      </c>
      <c r="E2" s="72" t="s">
        <v>114</v>
      </c>
      <c r="F2" s="72" t="s">
        <v>115</v>
      </c>
      <c r="G2" s="72">
        <v>2025</v>
      </c>
      <c r="H2" s="72">
        <v>2026</v>
      </c>
      <c r="I2" s="72">
        <v>2027</v>
      </c>
      <c r="J2" s="72">
        <v>2028</v>
      </c>
      <c r="K2" s="72">
        <v>2029</v>
      </c>
      <c r="L2" s="72">
        <v>2030</v>
      </c>
      <c r="M2" s="72">
        <v>2031</v>
      </c>
      <c r="N2" s="72">
        <v>2032</v>
      </c>
      <c r="O2" s="72">
        <v>2033</v>
      </c>
      <c r="P2" s="72">
        <v>2034</v>
      </c>
      <c r="Q2" s="72">
        <v>2035</v>
      </c>
      <c r="R2" s="72">
        <v>2036</v>
      </c>
      <c r="S2" s="72">
        <v>2037</v>
      </c>
      <c r="T2" s="72">
        <v>2038</v>
      </c>
      <c r="U2" s="72">
        <v>2039</v>
      </c>
      <c r="V2" s="72">
        <v>2040</v>
      </c>
      <c r="W2" s="72">
        <v>2041</v>
      </c>
      <c r="X2" s="72">
        <v>2042</v>
      </c>
      <c r="Y2" s="72">
        <v>2043</v>
      </c>
      <c r="Z2" s="72">
        <v>2044</v>
      </c>
      <c r="AA2" s="72">
        <v>2045</v>
      </c>
      <c r="AB2" s="72">
        <f>AA2+1</f>
        <v>2046</v>
      </c>
      <c r="AC2" s="72">
        <f t="shared" ref="AC2:AM2" si="0">AB2+1</f>
        <v>2047</v>
      </c>
      <c r="AD2" s="72">
        <f t="shared" si="0"/>
        <v>2048</v>
      </c>
      <c r="AE2" s="72">
        <f t="shared" si="0"/>
        <v>2049</v>
      </c>
      <c r="AF2" s="72">
        <f t="shared" si="0"/>
        <v>2050</v>
      </c>
      <c r="AG2" s="72">
        <f t="shared" si="0"/>
        <v>2051</v>
      </c>
      <c r="AH2" s="72">
        <f t="shared" si="0"/>
        <v>2052</v>
      </c>
      <c r="AI2" s="72">
        <f t="shared" si="0"/>
        <v>2053</v>
      </c>
      <c r="AJ2" s="72">
        <f t="shared" si="0"/>
        <v>2054</v>
      </c>
      <c r="AK2" s="72">
        <f t="shared" si="0"/>
        <v>2055</v>
      </c>
      <c r="AL2" s="72">
        <f t="shared" si="0"/>
        <v>2056</v>
      </c>
      <c r="AM2" s="72">
        <f t="shared" si="0"/>
        <v>2057</v>
      </c>
      <c r="AN2" s="72" t="s">
        <v>116</v>
      </c>
    </row>
    <row r="3" spans="1:40" x14ac:dyDescent="0.25">
      <c r="A3" s="143" t="s">
        <v>117</v>
      </c>
      <c r="B3" s="75" t="s">
        <v>118</v>
      </c>
      <c r="C3" s="142">
        <v>328593750</v>
      </c>
      <c r="D3" s="76">
        <f>C3*1.1</f>
        <v>361453125</v>
      </c>
      <c r="E3" s="76">
        <f>D3*0.7</f>
        <v>253017187.49999997</v>
      </c>
      <c r="F3" s="76">
        <f>E3*0.65</f>
        <v>164461171.875</v>
      </c>
      <c r="L3" s="77">
        <f>$F$3/5*0.75</f>
        <v>24669175.78125</v>
      </c>
      <c r="M3" s="77">
        <f t="shared" ref="M3" si="1">$F$3/5</f>
        <v>32892234.375</v>
      </c>
      <c r="N3" s="77">
        <f>$F$3/5*1.125</f>
        <v>37003763.671875</v>
      </c>
      <c r="O3" s="77">
        <f>$F$3/5*1.125</f>
        <v>37003763.671875</v>
      </c>
      <c r="P3" s="77">
        <f>$F$3/5</f>
        <v>32892234.375</v>
      </c>
      <c r="Q3" s="78"/>
      <c r="R3" s="78"/>
      <c r="S3" s="78"/>
      <c r="T3" s="78"/>
      <c r="AN3" s="76">
        <f>SUM(G3:AM3)</f>
        <v>164461171.875</v>
      </c>
    </row>
    <row r="4" spans="1:40" x14ac:dyDescent="0.25">
      <c r="A4" s="143" t="s">
        <v>119</v>
      </c>
      <c r="B4" s="75" t="s">
        <v>120</v>
      </c>
      <c r="C4" s="142">
        <v>272146250</v>
      </c>
      <c r="D4" s="76">
        <f t="shared" ref="D4:D12" si="2">C4*1.1</f>
        <v>299360875</v>
      </c>
      <c r="E4" s="76">
        <f t="shared" ref="E4:E7" si="3">D4*0.7</f>
        <v>209552612.5</v>
      </c>
      <c r="F4" s="76">
        <f t="shared" ref="F4:F7" si="4">E4*0.65</f>
        <v>136209198.125</v>
      </c>
      <c r="L4" s="77"/>
      <c r="M4" s="78"/>
      <c r="N4" s="78"/>
      <c r="O4" s="77"/>
      <c r="P4" s="77">
        <f>$F4/4/2</f>
        <v>17026149.765625</v>
      </c>
      <c r="Q4" s="77">
        <f t="shared" ref="Q4:S4" si="5">$F4/4</f>
        <v>34052299.53125</v>
      </c>
      <c r="R4" s="77">
        <f t="shared" si="5"/>
        <v>34052299.53125</v>
      </c>
      <c r="S4" s="77">
        <f t="shared" si="5"/>
        <v>34052299.53125</v>
      </c>
      <c r="T4" s="77">
        <f>$F4/4/2</f>
        <v>17026149.765625</v>
      </c>
      <c r="AN4" s="76">
        <f t="shared" ref="AN4:AN12" si="6">SUM(G4:AM4)</f>
        <v>136209198.125</v>
      </c>
    </row>
    <row r="5" spans="1:40" x14ac:dyDescent="0.25">
      <c r="A5" s="74" t="s">
        <v>33</v>
      </c>
      <c r="B5" s="75" t="s">
        <v>121</v>
      </c>
      <c r="C5" s="142">
        <v>63765000</v>
      </c>
      <c r="D5" s="76">
        <f t="shared" si="2"/>
        <v>70141500</v>
      </c>
      <c r="E5" s="76">
        <f t="shared" si="3"/>
        <v>49099050</v>
      </c>
      <c r="F5" s="76">
        <f t="shared" si="4"/>
        <v>31914382.5</v>
      </c>
      <c r="L5" s="77"/>
      <c r="M5" s="77"/>
      <c r="N5" s="77"/>
      <c r="O5" s="77"/>
      <c r="P5" s="77"/>
      <c r="Q5" s="77"/>
      <c r="U5" s="79"/>
      <c r="Z5" s="77">
        <f>$F5/3</f>
        <v>10638127.5</v>
      </c>
      <c r="AA5" s="77">
        <f t="shared" ref="AA5:AL12" si="7">$F5/3</f>
        <v>10638127.5</v>
      </c>
      <c r="AB5" s="77">
        <f t="shared" si="7"/>
        <v>10638127.5</v>
      </c>
      <c r="AN5" s="76">
        <f t="shared" si="6"/>
        <v>31914382.5</v>
      </c>
    </row>
    <row r="6" spans="1:40" x14ac:dyDescent="0.25">
      <c r="A6" s="74" t="s">
        <v>34</v>
      </c>
      <c r="B6" s="75" t="s">
        <v>122</v>
      </c>
      <c r="C6" s="142">
        <v>67083750</v>
      </c>
      <c r="D6" s="76">
        <f t="shared" si="2"/>
        <v>73792125</v>
      </c>
      <c r="E6" s="76">
        <f t="shared" si="3"/>
        <v>51654487.5</v>
      </c>
      <c r="F6" s="76">
        <f t="shared" si="4"/>
        <v>33575416.875</v>
      </c>
      <c r="L6" s="77"/>
      <c r="M6" s="77"/>
      <c r="N6" s="77"/>
      <c r="O6" s="77"/>
      <c r="P6" s="77"/>
      <c r="Q6" s="77"/>
      <c r="R6" s="77"/>
      <c r="S6" s="77"/>
      <c r="T6" s="77"/>
      <c r="U6" s="79"/>
      <c r="X6" s="77">
        <f>$F$6/3</f>
        <v>11191805.625</v>
      </c>
      <c r="Y6" s="77">
        <f>$F$6/3</f>
        <v>11191805.625</v>
      </c>
      <c r="Z6" s="77">
        <f>$F$6/3</f>
        <v>11191805.625</v>
      </c>
      <c r="AN6" s="76">
        <f t="shared" si="6"/>
        <v>33575416.875</v>
      </c>
    </row>
    <row r="7" spans="1:40" x14ac:dyDescent="0.25">
      <c r="A7" s="74" t="s">
        <v>123</v>
      </c>
      <c r="B7" s="75" t="s">
        <v>121</v>
      </c>
      <c r="C7" s="142">
        <v>66677500</v>
      </c>
      <c r="D7" s="76">
        <f t="shared" si="2"/>
        <v>73345250</v>
      </c>
      <c r="E7" s="76">
        <f t="shared" si="3"/>
        <v>51341675</v>
      </c>
      <c r="F7" s="76">
        <f t="shared" si="4"/>
        <v>33372088.75</v>
      </c>
      <c r="Q7" s="77"/>
      <c r="R7" s="77"/>
      <c r="S7" s="77"/>
      <c r="T7" s="77"/>
      <c r="AA7" s="77">
        <f t="shared" ref="AA7:AB7" si="8">$F$7/3</f>
        <v>11124029.583333334</v>
      </c>
      <c r="AB7" s="77">
        <f t="shared" si="8"/>
        <v>11124029.583333334</v>
      </c>
      <c r="AC7" s="77">
        <f>$F$7/3</f>
        <v>11124029.583333334</v>
      </c>
      <c r="AN7" s="76">
        <f t="shared" si="6"/>
        <v>33372088.75</v>
      </c>
    </row>
    <row r="8" spans="1:40" s="80" customFormat="1" x14ac:dyDescent="0.25">
      <c r="C8" s="81"/>
      <c r="D8" s="81"/>
      <c r="E8" s="81">
        <f t="shared" ref="E8" si="9">D8/1.3</f>
        <v>0</v>
      </c>
    </row>
    <row r="9" spans="1:40" x14ac:dyDescent="0.25">
      <c r="A9" s="143" t="s">
        <v>36</v>
      </c>
      <c r="B9" s="75" t="s">
        <v>121</v>
      </c>
      <c r="C9" s="142">
        <v>65322500</v>
      </c>
      <c r="D9" s="76">
        <f t="shared" si="2"/>
        <v>71854750</v>
      </c>
      <c r="E9" s="76">
        <f>D9*0.7</f>
        <v>50298325</v>
      </c>
      <c r="F9" s="76">
        <f>E9*0.65</f>
        <v>32693911.25</v>
      </c>
      <c r="AA9" s="77">
        <f t="shared" si="7"/>
        <v>10897970.416666666</v>
      </c>
      <c r="AB9" s="77">
        <f t="shared" si="7"/>
        <v>10897970.416666666</v>
      </c>
      <c r="AC9" s="77">
        <f t="shared" si="7"/>
        <v>10897970.416666666</v>
      </c>
      <c r="AN9" s="76">
        <f t="shared" si="6"/>
        <v>32693911.25</v>
      </c>
    </row>
    <row r="10" spans="1:40" x14ac:dyDescent="0.25">
      <c r="A10" s="74" t="s">
        <v>37</v>
      </c>
      <c r="B10" s="75" t="s">
        <v>124</v>
      </c>
      <c r="C10" s="142">
        <v>74598750</v>
      </c>
      <c r="D10" s="76">
        <f t="shared" si="2"/>
        <v>82058625</v>
      </c>
      <c r="E10" s="76">
        <f t="shared" ref="E10:E12" si="10">D10*0.7</f>
        <v>57441037.5</v>
      </c>
      <c r="F10" s="76">
        <f t="shared" ref="F10:F12" si="11">E10*0.65</f>
        <v>37336674.375</v>
      </c>
      <c r="AD10" s="77">
        <f t="shared" si="7"/>
        <v>12445558.125</v>
      </c>
      <c r="AE10" s="77">
        <f t="shared" si="7"/>
        <v>12445558.125</v>
      </c>
      <c r="AF10" s="77">
        <f t="shared" si="7"/>
        <v>12445558.125</v>
      </c>
      <c r="AN10" s="76">
        <f t="shared" si="6"/>
        <v>37336674.375</v>
      </c>
    </row>
    <row r="11" spans="1:40" x14ac:dyDescent="0.25">
      <c r="A11" s="74" t="s">
        <v>38</v>
      </c>
      <c r="B11" s="75" t="s">
        <v>125</v>
      </c>
      <c r="C11" s="142">
        <v>123552500</v>
      </c>
      <c r="D11" s="76">
        <f t="shared" si="2"/>
        <v>135907750</v>
      </c>
      <c r="E11" s="76">
        <f t="shared" si="10"/>
        <v>95135425</v>
      </c>
      <c r="F11" s="76">
        <f t="shared" si="11"/>
        <v>61838026.25</v>
      </c>
      <c r="AG11" s="77">
        <f t="shared" si="7"/>
        <v>20612675.416666668</v>
      </c>
      <c r="AH11" s="77">
        <f t="shared" si="7"/>
        <v>20612675.416666668</v>
      </c>
      <c r="AI11" s="77">
        <f t="shared" si="7"/>
        <v>20612675.416666668</v>
      </c>
      <c r="AN11" s="76">
        <f t="shared" si="6"/>
        <v>61838026.25</v>
      </c>
    </row>
    <row r="12" spans="1:40" x14ac:dyDescent="0.25">
      <c r="A12" s="74" t="s">
        <v>126</v>
      </c>
      <c r="B12" s="75" t="s">
        <v>127</v>
      </c>
      <c r="C12" s="142">
        <v>87920000</v>
      </c>
      <c r="D12" s="76">
        <f t="shared" si="2"/>
        <v>96712000.000000015</v>
      </c>
      <c r="E12" s="76">
        <f t="shared" si="10"/>
        <v>67698400</v>
      </c>
      <c r="F12" s="76">
        <f t="shared" si="11"/>
        <v>44003960</v>
      </c>
      <c r="AJ12" s="77">
        <f t="shared" si="7"/>
        <v>14667986.666666666</v>
      </c>
      <c r="AK12" s="77">
        <f t="shared" si="7"/>
        <v>14667986.666666666</v>
      </c>
      <c r="AL12" s="77">
        <f t="shared" si="7"/>
        <v>14667986.666666666</v>
      </c>
      <c r="AN12" s="76">
        <f t="shared" si="6"/>
        <v>44003960</v>
      </c>
    </row>
    <row r="13" spans="1:40" s="80" customFormat="1" x14ac:dyDescent="0.25">
      <c r="C13" s="81"/>
      <c r="D13" s="81"/>
      <c r="E13" s="81"/>
    </row>
    <row r="14" spans="1:40" s="82" customFormat="1" x14ac:dyDescent="0.25">
      <c r="A14" s="82" t="s">
        <v>128</v>
      </c>
      <c r="C14" s="83"/>
      <c r="D14" s="83"/>
      <c r="E14" s="83"/>
      <c r="F14" s="84">
        <f t="shared" ref="F14:Z14" si="12">SUM(F3:F12)</f>
        <v>575404830</v>
      </c>
      <c r="G14" s="84">
        <f t="shared" si="12"/>
        <v>0</v>
      </c>
      <c r="H14" s="84">
        <f t="shared" si="12"/>
        <v>0</v>
      </c>
      <c r="I14" s="84">
        <f t="shared" si="12"/>
        <v>0</v>
      </c>
      <c r="J14" s="84">
        <f t="shared" si="12"/>
        <v>0</v>
      </c>
      <c r="K14" s="84">
        <f t="shared" si="12"/>
        <v>0</v>
      </c>
      <c r="L14" s="84">
        <f t="shared" si="12"/>
        <v>24669175.78125</v>
      </c>
      <c r="M14" s="84">
        <f t="shared" si="12"/>
        <v>32892234.375</v>
      </c>
      <c r="N14" s="84">
        <f t="shared" si="12"/>
        <v>37003763.671875</v>
      </c>
      <c r="O14" s="84">
        <f t="shared" si="12"/>
        <v>37003763.671875</v>
      </c>
      <c r="P14" s="84">
        <f t="shared" si="12"/>
        <v>49918384.140625</v>
      </c>
      <c r="Q14" s="84">
        <f t="shared" si="12"/>
        <v>34052299.53125</v>
      </c>
      <c r="R14" s="84">
        <f t="shared" si="12"/>
        <v>34052299.53125</v>
      </c>
      <c r="S14" s="84">
        <f t="shared" si="12"/>
        <v>34052299.53125</v>
      </c>
      <c r="T14" s="84">
        <f t="shared" si="12"/>
        <v>17026149.765625</v>
      </c>
      <c r="U14" s="84">
        <f t="shared" si="12"/>
        <v>0</v>
      </c>
      <c r="V14" s="84">
        <f t="shared" si="12"/>
        <v>0</v>
      </c>
      <c r="W14" s="84">
        <f t="shared" si="12"/>
        <v>0</v>
      </c>
      <c r="X14" s="84">
        <f t="shared" si="12"/>
        <v>11191805.625</v>
      </c>
      <c r="Y14" s="84">
        <f t="shared" si="12"/>
        <v>11191805.625</v>
      </c>
      <c r="Z14" s="84">
        <f t="shared" si="12"/>
        <v>21829933.125</v>
      </c>
      <c r="AA14" s="84">
        <f t="shared" ref="AA14:AM14" si="13">SUM(AA3:AA12)</f>
        <v>32660127.5</v>
      </c>
      <c r="AB14" s="84">
        <f t="shared" si="13"/>
        <v>32660127.5</v>
      </c>
      <c r="AC14" s="84">
        <f t="shared" si="13"/>
        <v>22022000</v>
      </c>
      <c r="AD14" s="84">
        <f t="shared" si="13"/>
        <v>12445558.125</v>
      </c>
      <c r="AE14" s="84">
        <f t="shared" si="13"/>
        <v>12445558.125</v>
      </c>
      <c r="AF14" s="84">
        <f t="shared" si="13"/>
        <v>12445558.125</v>
      </c>
      <c r="AG14" s="84">
        <f t="shared" si="13"/>
        <v>20612675.416666668</v>
      </c>
      <c r="AH14" s="84">
        <f t="shared" si="13"/>
        <v>20612675.416666668</v>
      </c>
      <c r="AI14" s="84">
        <f t="shared" si="13"/>
        <v>20612675.416666668</v>
      </c>
      <c r="AJ14" s="84">
        <f>SUM(AJ3:AJ12)</f>
        <v>14667986.666666666</v>
      </c>
      <c r="AK14" s="84">
        <f>SUM(AK3:AK12)</f>
        <v>14667986.666666666</v>
      </c>
      <c r="AL14" s="84">
        <f>SUM(AL3:AL12)</f>
        <v>14667986.666666666</v>
      </c>
      <c r="AM14" s="84">
        <f t="shared" si="13"/>
        <v>0</v>
      </c>
      <c r="AN14" s="84">
        <f>SUM(AN3:AN12)</f>
        <v>575404830</v>
      </c>
    </row>
    <row r="15" spans="1:40" x14ac:dyDescent="0.25">
      <c r="A15" s="74" t="s">
        <v>129</v>
      </c>
      <c r="C15" s="76"/>
      <c r="G15" s="85">
        <f>SUM(G3:G12)*0.25</f>
        <v>0</v>
      </c>
      <c r="H15" s="85">
        <f t="shared" ref="H15:AM15" si="14">SUM(H3:H12)*0.25</f>
        <v>0</v>
      </c>
      <c r="I15" s="85">
        <f t="shared" si="14"/>
        <v>0</v>
      </c>
      <c r="J15" s="85">
        <f t="shared" si="14"/>
        <v>0</v>
      </c>
      <c r="K15" s="85">
        <f t="shared" si="14"/>
        <v>0</v>
      </c>
      <c r="L15" s="85">
        <f t="shared" si="14"/>
        <v>6167293.9453125</v>
      </c>
      <c r="M15" s="85">
        <f t="shared" si="14"/>
        <v>8223058.59375</v>
      </c>
      <c r="N15" s="85">
        <f t="shared" si="14"/>
        <v>9250940.91796875</v>
      </c>
      <c r="O15" s="85">
        <f t="shared" si="14"/>
        <v>9250940.91796875</v>
      </c>
      <c r="P15" s="85">
        <f t="shared" si="14"/>
        <v>12479596.03515625</v>
      </c>
      <c r="Q15" s="85">
        <f t="shared" si="14"/>
        <v>8513074.8828125</v>
      </c>
      <c r="R15" s="85">
        <f t="shared" si="14"/>
        <v>8513074.8828125</v>
      </c>
      <c r="S15" s="85">
        <f t="shared" si="14"/>
        <v>8513074.8828125</v>
      </c>
      <c r="T15" s="85">
        <f t="shared" si="14"/>
        <v>4256537.44140625</v>
      </c>
      <c r="U15" s="85">
        <f t="shared" si="14"/>
        <v>0</v>
      </c>
      <c r="V15" s="85">
        <f t="shared" si="14"/>
        <v>0</v>
      </c>
      <c r="W15" s="85">
        <f t="shared" si="14"/>
        <v>0</v>
      </c>
      <c r="X15" s="85">
        <f t="shared" si="14"/>
        <v>2797951.40625</v>
      </c>
      <c r="Y15" s="85">
        <f t="shared" si="14"/>
        <v>2797951.40625</v>
      </c>
      <c r="Z15" s="85">
        <f t="shared" si="14"/>
        <v>5457483.28125</v>
      </c>
      <c r="AA15" s="85">
        <f t="shared" si="14"/>
        <v>8165031.875</v>
      </c>
      <c r="AB15" s="85">
        <f t="shared" si="14"/>
        <v>8165031.875</v>
      </c>
      <c r="AC15" s="85">
        <f t="shared" si="14"/>
        <v>5505500</v>
      </c>
      <c r="AD15" s="85">
        <f t="shared" si="14"/>
        <v>3111389.53125</v>
      </c>
      <c r="AE15" s="85">
        <f t="shared" si="14"/>
        <v>3111389.53125</v>
      </c>
      <c r="AF15" s="85">
        <f t="shared" si="14"/>
        <v>3111389.53125</v>
      </c>
      <c r="AG15" s="85">
        <f t="shared" si="14"/>
        <v>5153168.854166667</v>
      </c>
      <c r="AH15" s="85">
        <f t="shared" si="14"/>
        <v>5153168.854166667</v>
      </c>
      <c r="AI15" s="85">
        <f t="shared" si="14"/>
        <v>5153168.854166667</v>
      </c>
      <c r="AJ15" s="85">
        <f t="shared" si="14"/>
        <v>3666996.6666666665</v>
      </c>
      <c r="AK15" s="85">
        <f t="shared" si="14"/>
        <v>3666996.6666666665</v>
      </c>
      <c r="AL15" s="85">
        <f t="shared" si="14"/>
        <v>3666996.6666666665</v>
      </c>
      <c r="AM15" s="85">
        <f t="shared" si="14"/>
        <v>0</v>
      </c>
      <c r="AN15" s="85">
        <f>SUM(G15:Z15)</f>
        <v>86220978.59375</v>
      </c>
    </row>
    <row r="16" spans="1:40" s="86" customFormat="1" x14ac:dyDescent="0.25">
      <c r="A16" s="86" t="s">
        <v>130</v>
      </c>
      <c r="C16" s="87"/>
      <c r="L16" s="88">
        <f t="shared" ref="L16:AM16" si="15">SUM(L14:L15)</f>
        <v>30836469.7265625</v>
      </c>
      <c r="M16" s="88">
        <f t="shared" si="15"/>
        <v>41115292.96875</v>
      </c>
      <c r="N16" s="88">
        <f t="shared" si="15"/>
        <v>46254704.58984375</v>
      </c>
      <c r="O16" s="88">
        <f t="shared" si="15"/>
        <v>46254704.58984375</v>
      </c>
      <c r="P16" s="88">
        <f t="shared" si="15"/>
        <v>62397980.17578125</v>
      </c>
      <c r="Q16" s="88">
        <f t="shared" si="15"/>
        <v>42565374.4140625</v>
      </c>
      <c r="R16" s="88">
        <f t="shared" si="15"/>
        <v>42565374.4140625</v>
      </c>
      <c r="S16" s="88">
        <f t="shared" si="15"/>
        <v>42565374.4140625</v>
      </c>
      <c r="T16" s="88">
        <f t="shared" si="15"/>
        <v>21282687.20703125</v>
      </c>
      <c r="U16" s="88">
        <f t="shared" si="15"/>
        <v>0</v>
      </c>
      <c r="V16" s="88">
        <f t="shared" si="15"/>
        <v>0</v>
      </c>
      <c r="W16" s="88">
        <f t="shared" si="15"/>
        <v>0</v>
      </c>
      <c r="X16" s="88">
        <f t="shared" si="15"/>
        <v>13989757.03125</v>
      </c>
      <c r="Y16" s="88">
        <f t="shared" si="15"/>
        <v>13989757.03125</v>
      </c>
      <c r="Z16" s="88">
        <f t="shared" si="15"/>
        <v>27287416.40625</v>
      </c>
      <c r="AA16" s="88">
        <f t="shared" si="15"/>
        <v>40825159.375</v>
      </c>
      <c r="AB16" s="88">
        <f t="shared" si="15"/>
        <v>40825159.375</v>
      </c>
      <c r="AC16" s="88">
        <f t="shared" si="15"/>
        <v>27527500</v>
      </c>
      <c r="AD16" s="88">
        <f t="shared" si="15"/>
        <v>15556947.65625</v>
      </c>
      <c r="AE16" s="88">
        <f t="shared" si="15"/>
        <v>15556947.65625</v>
      </c>
      <c r="AF16" s="88">
        <f t="shared" si="15"/>
        <v>15556947.65625</v>
      </c>
      <c r="AG16" s="88">
        <f t="shared" si="15"/>
        <v>25765844.270833336</v>
      </c>
      <c r="AH16" s="88">
        <f t="shared" si="15"/>
        <v>25765844.270833336</v>
      </c>
      <c r="AI16" s="88">
        <f t="shared" si="15"/>
        <v>25765844.270833336</v>
      </c>
      <c r="AJ16" s="88">
        <f t="shared" si="15"/>
        <v>18334983.333333332</v>
      </c>
      <c r="AK16" s="88">
        <f t="shared" si="15"/>
        <v>18334983.333333332</v>
      </c>
      <c r="AL16" s="88">
        <f t="shared" si="15"/>
        <v>18334983.333333332</v>
      </c>
      <c r="AM16" s="88">
        <f t="shared" si="15"/>
        <v>0</v>
      </c>
      <c r="AN16" s="88">
        <f>SUM(AN14:AN15)</f>
        <v>661625808.59375</v>
      </c>
    </row>
    <row r="18" spans="3:25" x14ac:dyDescent="0.25">
      <c r="C18" s="113" t="s">
        <v>131</v>
      </c>
      <c r="D18" s="113" t="s">
        <v>132</v>
      </c>
    </row>
    <row r="19" spans="3:25" x14ac:dyDescent="0.25">
      <c r="Y19" s="8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DCFF-F6C6-4E28-9D5D-8404DF8A2147}">
  <dimension ref="A1:AN39"/>
  <sheetViews>
    <sheetView workbookViewId="0">
      <pane xSplit="6" ySplit="2" topLeftCell="Z3" activePane="bottomRight" state="frozen"/>
      <selection pane="topRight" activeCell="G1" sqref="G1"/>
      <selection pane="bottomLeft" activeCell="A3" sqref="A3"/>
      <selection pane="bottomRight" activeCell="Z11" sqref="Z11:AG11"/>
    </sheetView>
  </sheetViews>
  <sheetFormatPr defaultColWidth="8.85546875" defaultRowHeight="15" x14ac:dyDescent="0.25"/>
  <cols>
    <col min="1" max="1" width="27.7109375" style="74" bestFit="1" customWidth="1"/>
    <col min="2" max="2" width="14.7109375" style="74" customWidth="1"/>
    <col min="3" max="3" width="16.28515625" style="76" bestFit="1" customWidth="1"/>
    <col min="4" max="4" width="16.7109375" style="74" customWidth="1"/>
    <col min="5" max="5" width="14.42578125" style="74" customWidth="1"/>
    <col min="6" max="6" width="13.7109375" style="74" customWidth="1"/>
    <col min="7" max="9" width="12" style="74" bestFit="1" customWidth="1"/>
    <col min="10" max="12" width="13" style="74" bestFit="1" customWidth="1"/>
    <col min="13" max="16" width="14.7109375" style="74" bestFit="1" customWidth="1"/>
    <col min="17" max="17" width="13.7109375" style="74" bestFit="1" customWidth="1"/>
    <col min="18" max="21" width="14.7109375" style="74" bestFit="1" customWidth="1"/>
    <col min="22" max="22" width="16" style="74" bestFit="1" customWidth="1"/>
    <col min="23" max="23" width="14.7109375" style="74" bestFit="1" customWidth="1"/>
    <col min="24" max="24" width="13.5703125" style="74" bestFit="1" customWidth="1"/>
    <col min="25" max="25" width="14.28515625" style="74" bestFit="1" customWidth="1"/>
    <col min="26" max="26" width="13" style="74" bestFit="1" customWidth="1"/>
    <col min="27" max="27" width="14.28515625" style="74" bestFit="1" customWidth="1"/>
    <col min="28" max="39" width="12" style="74" bestFit="1" customWidth="1"/>
    <col min="40" max="40" width="14.28515625" style="74" bestFit="1" customWidth="1"/>
    <col min="41" max="16384" width="8.85546875" style="74"/>
  </cols>
  <sheetData>
    <row r="1" spans="1:40" s="70" customFormat="1" ht="15.75" x14ac:dyDescent="0.25">
      <c r="C1" s="71"/>
      <c r="D1" s="70" t="s">
        <v>109</v>
      </c>
    </row>
    <row r="2" spans="1:40" s="72" customFormat="1" x14ac:dyDescent="0.25">
      <c r="A2" s="72" t="s">
        <v>110</v>
      </c>
      <c r="B2" s="72" t="s">
        <v>111</v>
      </c>
      <c r="C2" s="90" t="s">
        <v>133</v>
      </c>
      <c r="D2" s="72" t="s">
        <v>134</v>
      </c>
      <c r="E2" s="72" t="s">
        <v>135</v>
      </c>
      <c r="F2" s="72" t="s">
        <v>136</v>
      </c>
      <c r="G2" s="72">
        <v>2025</v>
      </c>
      <c r="H2" s="72">
        <v>2026</v>
      </c>
      <c r="I2" s="72">
        <v>2027</v>
      </c>
      <c r="J2" s="72">
        <v>2028</v>
      </c>
      <c r="K2" s="72">
        <v>2029</v>
      </c>
      <c r="L2" s="72">
        <v>2030</v>
      </c>
      <c r="M2" s="72">
        <v>2031</v>
      </c>
      <c r="N2" s="72">
        <v>2032</v>
      </c>
      <c r="O2" s="72">
        <v>2033</v>
      </c>
      <c r="P2" s="72">
        <v>2034</v>
      </c>
      <c r="Q2" s="72">
        <v>2035</v>
      </c>
      <c r="R2" s="72">
        <v>2036</v>
      </c>
      <c r="S2" s="72">
        <v>2037</v>
      </c>
      <c r="T2" s="72">
        <v>2038</v>
      </c>
      <c r="U2" s="72">
        <v>2039</v>
      </c>
      <c r="V2" s="72">
        <v>2040</v>
      </c>
      <c r="W2" s="72">
        <v>2041</v>
      </c>
      <c r="X2" s="72">
        <v>2042</v>
      </c>
      <c r="Y2" s="72">
        <v>2043</v>
      </c>
      <c r="Z2" s="72">
        <v>2044</v>
      </c>
      <c r="AA2" s="72">
        <v>2045</v>
      </c>
      <c r="AB2" s="72">
        <f>AA2+1</f>
        <v>2046</v>
      </c>
      <c r="AC2" s="72">
        <f t="shared" ref="AC2:AL2" si="0">AB2+1</f>
        <v>2047</v>
      </c>
      <c r="AD2" s="72">
        <f t="shared" si="0"/>
        <v>2048</v>
      </c>
      <c r="AE2" s="72">
        <f t="shared" si="0"/>
        <v>2049</v>
      </c>
      <c r="AF2" s="72">
        <f t="shared" si="0"/>
        <v>2050</v>
      </c>
      <c r="AG2" s="72">
        <f t="shared" si="0"/>
        <v>2051</v>
      </c>
      <c r="AH2" s="72">
        <f t="shared" si="0"/>
        <v>2052</v>
      </c>
      <c r="AI2" s="72">
        <f t="shared" si="0"/>
        <v>2053</v>
      </c>
      <c r="AJ2" s="72">
        <f t="shared" si="0"/>
        <v>2054</v>
      </c>
      <c r="AK2" s="72">
        <f t="shared" si="0"/>
        <v>2055</v>
      </c>
      <c r="AL2" s="72">
        <f t="shared" si="0"/>
        <v>2056</v>
      </c>
      <c r="AM2" s="72">
        <f>AL2+1</f>
        <v>2057</v>
      </c>
      <c r="AN2" s="72" t="s">
        <v>116</v>
      </c>
    </row>
    <row r="3" spans="1:40" s="72" customFormat="1" x14ac:dyDescent="0.25">
      <c r="A3" s="91" t="s">
        <v>137</v>
      </c>
      <c r="B3" s="91"/>
      <c r="C3" s="90">
        <f>0</f>
        <v>0</v>
      </c>
      <c r="D3" s="72">
        <f>0</f>
        <v>0</v>
      </c>
      <c r="E3" s="76">
        <f>0</f>
        <v>0</v>
      </c>
      <c r="F3" s="92">
        <f>C14*0.7*0.03/500000</f>
        <v>44.467919999999999</v>
      </c>
      <c r="G3" s="74">
        <v>1.5</v>
      </c>
      <c r="H3" s="74">
        <v>1.75</v>
      </c>
      <c r="I3" s="74">
        <v>2</v>
      </c>
      <c r="J3" s="74">
        <v>2</v>
      </c>
      <c r="K3" s="74">
        <v>2</v>
      </c>
      <c r="L3" s="74">
        <v>2</v>
      </c>
      <c r="M3" s="74">
        <v>2</v>
      </c>
      <c r="N3" s="74">
        <v>2</v>
      </c>
      <c r="O3" s="74">
        <v>2</v>
      </c>
      <c r="P3" s="74">
        <v>2</v>
      </c>
      <c r="Q3" s="74">
        <v>2</v>
      </c>
      <c r="R3" s="74">
        <v>2</v>
      </c>
      <c r="S3" s="74">
        <v>2</v>
      </c>
      <c r="T3" s="74">
        <v>1.5</v>
      </c>
      <c r="U3" s="74">
        <v>1.5</v>
      </c>
      <c r="V3" s="74">
        <v>1</v>
      </c>
      <c r="W3" s="74">
        <v>1</v>
      </c>
      <c r="X3" s="74">
        <v>1</v>
      </c>
      <c r="Y3" s="74">
        <v>1</v>
      </c>
      <c r="Z3" s="74">
        <v>1</v>
      </c>
      <c r="AA3" s="74">
        <v>1</v>
      </c>
      <c r="AB3" s="74">
        <v>1</v>
      </c>
      <c r="AC3" s="74">
        <v>1</v>
      </c>
      <c r="AD3" s="74">
        <v>1</v>
      </c>
      <c r="AE3" s="74">
        <v>1</v>
      </c>
      <c r="AF3" s="74">
        <v>1</v>
      </c>
      <c r="AG3" s="74">
        <v>1</v>
      </c>
      <c r="AH3" s="74">
        <v>1</v>
      </c>
      <c r="AI3" s="74">
        <v>1</v>
      </c>
      <c r="AJ3" s="74">
        <v>1</v>
      </c>
      <c r="AK3" s="74">
        <v>0.5</v>
      </c>
      <c r="AL3" s="74">
        <v>0.5</v>
      </c>
      <c r="AM3" s="74">
        <v>0</v>
      </c>
      <c r="AN3" s="74">
        <f>SUM(G3:AM3)</f>
        <v>44.25</v>
      </c>
    </row>
    <row r="4" spans="1:40" x14ac:dyDescent="0.25">
      <c r="A4" s="74" t="s">
        <v>138</v>
      </c>
      <c r="B4" s="75" t="s">
        <v>118</v>
      </c>
      <c r="C4" s="76">
        <v>328593750</v>
      </c>
      <c r="D4" s="76">
        <f>C4*1.1</f>
        <v>361453125</v>
      </c>
      <c r="E4" s="76">
        <f>D4*0.7</f>
        <v>253017187.49999997</v>
      </c>
      <c r="F4" s="92">
        <f>E4*0.14/500000</f>
        <v>70.844812500000003</v>
      </c>
      <c r="G4" s="74">
        <v>1.5</v>
      </c>
      <c r="H4" s="74">
        <v>1.5</v>
      </c>
      <c r="I4" s="74">
        <v>10</v>
      </c>
      <c r="J4" s="74">
        <v>15</v>
      </c>
      <c r="K4" s="74">
        <v>15</v>
      </c>
      <c r="L4" s="74">
        <v>5</v>
      </c>
      <c r="M4" s="74">
        <v>4</v>
      </c>
      <c r="N4" s="74">
        <v>4</v>
      </c>
      <c r="O4" s="74">
        <v>4</v>
      </c>
      <c r="P4" s="74">
        <v>4</v>
      </c>
      <c r="Q4" s="74">
        <v>4</v>
      </c>
      <c r="R4" s="74">
        <v>2</v>
      </c>
      <c r="S4" s="74">
        <v>0.5</v>
      </c>
      <c r="T4" s="74">
        <v>0.5</v>
      </c>
      <c r="AN4" s="74">
        <f t="shared" ref="AN4:AN8" si="1">SUM(G4:AM4)</f>
        <v>71</v>
      </c>
    </row>
    <row r="5" spans="1:40" x14ac:dyDescent="0.25">
      <c r="A5" s="74" t="s">
        <v>139</v>
      </c>
      <c r="B5" s="75" t="s">
        <v>120</v>
      </c>
      <c r="C5" s="76">
        <v>197923750</v>
      </c>
      <c r="D5" s="76">
        <f t="shared" ref="D5:D13" si="2">C5*1.1</f>
        <v>217716125.00000003</v>
      </c>
      <c r="E5" s="76">
        <f t="shared" ref="E5:E8" si="3">D5*0.7</f>
        <v>152401287.5</v>
      </c>
      <c r="F5" s="92">
        <f>E5*0.14/500000</f>
        <v>42.672360500000011</v>
      </c>
      <c r="G5" s="74">
        <v>0.5</v>
      </c>
      <c r="H5" s="74">
        <v>0.5</v>
      </c>
      <c r="K5" s="74">
        <v>2.5</v>
      </c>
      <c r="L5" s="74">
        <v>5</v>
      </c>
      <c r="M5" s="74">
        <v>6</v>
      </c>
      <c r="N5" s="74">
        <v>6</v>
      </c>
      <c r="O5" s="74">
        <v>7</v>
      </c>
      <c r="P5" s="74">
        <v>3</v>
      </c>
      <c r="Q5" s="74">
        <v>3</v>
      </c>
      <c r="R5" s="74">
        <v>3</v>
      </c>
      <c r="S5" s="74">
        <v>3</v>
      </c>
      <c r="T5" s="74">
        <v>2</v>
      </c>
      <c r="U5" s="74">
        <v>1</v>
      </c>
      <c r="AN5" s="74">
        <f t="shared" si="1"/>
        <v>42.5</v>
      </c>
    </row>
    <row r="6" spans="1:40" x14ac:dyDescent="0.25">
      <c r="A6" s="74" t="s">
        <v>33</v>
      </c>
      <c r="B6" s="75" t="s">
        <v>121</v>
      </c>
      <c r="C6" s="76">
        <v>63765000</v>
      </c>
      <c r="D6" s="76">
        <f t="shared" si="2"/>
        <v>70141500</v>
      </c>
      <c r="E6" s="76">
        <f t="shared" si="3"/>
        <v>49099050</v>
      </c>
      <c r="F6" s="92">
        <f t="shared" ref="F6:F8" si="4">E6*0.13/500000</f>
        <v>12.765753</v>
      </c>
      <c r="G6" s="74">
        <v>0.1</v>
      </c>
      <c r="H6" s="74">
        <v>0.1</v>
      </c>
      <c r="V6" s="74">
        <v>0.5</v>
      </c>
      <c r="W6" s="74">
        <v>1</v>
      </c>
      <c r="X6" s="74">
        <v>3</v>
      </c>
      <c r="Y6" s="74">
        <v>3</v>
      </c>
      <c r="Z6" s="74">
        <v>3</v>
      </c>
      <c r="AA6" s="74">
        <v>1.3</v>
      </c>
      <c r="AB6" s="74">
        <v>1.25</v>
      </c>
      <c r="AC6" s="74">
        <v>1.25</v>
      </c>
      <c r="AD6" s="74">
        <v>0.5</v>
      </c>
      <c r="AN6" s="74">
        <f t="shared" si="1"/>
        <v>15</v>
      </c>
    </row>
    <row r="7" spans="1:40" x14ac:dyDescent="0.25">
      <c r="A7" s="74" t="s">
        <v>34</v>
      </c>
      <c r="B7" s="75" t="s">
        <v>122</v>
      </c>
      <c r="C7" s="76">
        <v>67083750</v>
      </c>
      <c r="D7" s="76">
        <f t="shared" si="2"/>
        <v>73792125</v>
      </c>
      <c r="E7" s="76">
        <f t="shared" si="3"/>
        <v>51654487.5</v>
      </c>
      <c r="F7" s="92">
        <f t="shared" si="4"/>
        <v>13.43016675</v>
      </c>
      <c r="G7" s="74">
        <v>0.1</v>
      </c>
      <c r="H7" s="74">
        <v>0.1</v>
      </c>
      <c r="U7" s="74">
        <v>2</v>
      </c>
      <c r="V7" s="74">
        <v>3</v>
      </c>
      <c r="W7" s="74">
        <v>3</v>
      </c>
      <c r="X7" s="74">
        <v>1.25</v>
      </c>
      <c r="Y7" s="74">
        <v>1.25</v>
      </c>
      <c r="Z7" s="74">
        <v>1</v>
      </c>
      <c r="AA7" s="74">
        <v>0.5</v>
      </c>
      <c r="AN7" s="74">
        <f t="shared" si="1"/>
        <v>12.2</v>
      </c>
    </row>
    <row r="8" spans="1:40" x14ac:dyDescent="0.25">
      <c r="A8" s="74" t="s">
        <v>123</v>
      </c>
      <c r="B8" s="75" t="s">
        <v>121</v>
      </c>
      <c r="C8" s="76">
        <v>50000000</v>
      </c>
      <c r="D8" s="76">
        <f t="shared" si="2"/>
        <v>55000000.000000007</v>
      </c>
      <c r="E8" s="76">
        <f t="shared" si="3"/>
        <v>38500000</v>
      </c>
      <c r="F8" s="92">
        <f t="shared" si="4"/>
        <v>10.01</v>
      </c>
      <c r="G8" s="74">
        <v>0.1</v>
      </c>
      <c r="H8" s="74">
        <v>0.1</v>
      </c>
      <c r="X8" s="74">
        <v>2.2999999999999998</v>
      </c>
      <c r="Y8" s="74">
        <v>3</v>
      </c>
      <c r="Z8" s="74">
        <v>3</v>
      </c>
      <c r="AA8" s="74">
        <v>1</v>
      </c>
      <c r="AB8" s="74">
        <v>1</v>
      </c>
      <c r="AC8" s="74">
        <v>1</v>
      </c>
      <c r="AD8" s="74">
        <v>0.5</v>
      </c>
      <c r="AN8" s="74">
        <f t="shared" si="1"/>
        <v>12</v>
      </c>
    </row>
    <row r="9" spans="1:40" s="80" customFormat="1" x14ac:dyDescent="0.25">
      <c r="C9" s="81"/>
      <c r="D9" s="81"/>
      <c r="E9" s="81">
        <f t="shared" ref="E9" si="5">D9/1.3</f>
        <v>0</v>
      </c>
      <c r="F9" s="93"/>
    </row>
    <row r="10" spans="1:40" x14ac:dyDescent="0.25">
      <c r="A10" s="74" t="s">
        <v>36</v>
      </c>
      <c r="B10" s="75" t="s">
        <v>121</v>
      </c>
      <c r="C10" s="76">
        <v>65322500</v>
      </c>
      <c r="D10" s="76">
        <f t="shared" si="2"/>
        <v>71854750</v>
      </c>
      <c r="E10" s="76">
        <f>D10*0.7</f>
        <v>50298325</v>
      </c>
      <c r="F10" s="92">
        <f>E10*0.15/500000</f>
        <v>15.0894975</v>
      </c>
      <c r="G10" s="74">
        <v>0.1</v>
      </c>
      <c r="H10" s="74">
        <v>0.1</v>
      </c>
      <c r="X10" s="74">
        <v>1</v>
      </c>
      <c r="Y10" s="74">
        <v>3</v>
      </c>
      <c r="Z10" s="74">
        <v>4</v>
      </c>
      <c r="AA10" s="74">
        <v>3.8</v>
      </c>
      <c r="AB10" s="74">
        <v>1</v>
      </c>
      <c r="AC10" s="74">
        <v>1</v>
      </c>
      <c r="AD10" s="74">
        <v>1</v>
      </c>
      <c r="AN10" s="74">
        <f>SUM(G10:AM10)</f>
        <v>15</v>
      </c>
    </row>
    <row r="11" spans="1:40" x14ac:dyDescent="0.25">
      <c r="A11" s="74" t="s">
        <v>37</v>
      </c>
      <c r="B11" s="75" t="s">
        <v>124</v>
      </c>
      <c r="C11" s="76">
        <v>74598750</v>
      </c>
      <c r="D11" s="76">
        <f t="shared" si="2"/>
        <v>82058625</v>
      </c>
      <c r="E11" s="76">
        <f t="shared" ref="E11:E14" si="6">D11*0.7</f>
        <v>57441037.5</v>
      </c>
      <c r="F11" s="92">
        <f t="shared" ref="F11:F13" si="7">E11*0.15/500000</f>
        <v>17.232311249999999</v>
      </c>
      <c r="G11" s="74">
        <v>0.1</v>
      </c>
      <c r="H11" s="74">
        <v>0.1</v>
      </c>
      <c r="Z11" s="74">
        <v>3</v>
      </c>
      <c r="AA11" s="74">
        <v>3</v>
      </c>
      <c r="AB11" s="74">
        <v>4</v>
      </c>
      <c r="AC11" s="74">
        <v>3</v>
      </c>
      <c r="AD11" s="74">
        <v>1</v>
      </c>
      <c r="AE11" s="74">
        <v>1</v>
      </c>
      <c r="AF11" s="74">
        <v>1</v>
      </c>
      <c r="AG11" s="74">
        <v>0.8</v>
      </c>
      <c r="AN11" s="74">
        <f t="shared" ref="AN11:AN13" si="8">SUM(G11:AM11)</f>
        <v>17</v>
      </c>
    </row>
    <row r="12" spans="1:40" x14ac:dyDescent="0.25">
      <c r="A12" s="74" t="s">
        <v>38</v>
      </c>
      <c r="B12" s="75" t="s">
        <v>125</v>
      </c>
      <c r="C12" s="76">
        <v>123552500</v>
      </c>
      <c r="D12" s="76">
        <f t="shared" si="2"/>
        <v>135907750</v>
      </c>
      <c r="E12" s="76">
        <f t="shared" si="6"/>
        <v>95135425</v>
      </c>
      <c r="F12" s="92">
        <f t="shared" si="7"/>
        <v>28.540627499999999</v>
      </c>
      <c r="G12" s="74">
        <v>0.1</v>
      </c>
      <c r="H12" s="74">
        <v>0.1</v>
      </c>
      <c r="AD12" s="74">
        <v>5</v>
      </c>
      <c r="AE12" s="74">
        <v>5.3</v>
      </c>
      <c r="AF12" s="74">
        <v>5.5</v>
      </c>
      <c r="AG12" s="74">
        <v>5.5</v>
      </c>
      <c r="AH12" s="74">
        <v>1.5</v>
      </c>
      <c r="AI12" s="74">
        <v>1.5</v>
      </c>
      <c r="AJ12" s="74">
        <v>1.5</v>
      </c>
      <c r="AK12" s="74">
        <v>1</v>
      </c>
      <c r="AN12" s="74">
        <f t="shared" si="8"/>
        <v>27</v>
      </c>
    </row>
    <row r="13" spans="1:40" x14ac:dyDescent="0.25">
      <c r="A13" s="74" t="s">
        <v>126</v>
      </c>
      <c r="B13" s="75" t="s">
        <v>127</v>
      </c>
      <c r="C13" s="76">
        <v>87920000</v>
      </c>
      <c r="D13" s="76">
        <f t="shared" si="2"/>
        <v>96712000.000000015</v>
      </c>
      <c r="E13" s="76">
        <f t="shared" si="6"/>
        <v>67698400</v>
      </c>
      <c r="F13" s="92">
        <f t="shared" si="7"/>
        <v>20.309519999999999</v>
      </c>
      <c r="G13" s="74">
        <v>0.1</v>
      </c>
      <c r="H13" s="74">
        <v>0.1</v>
      </c>
      <c r="AF13" s="74">
        <v>2</v>
      </c>
      <c r="AG13" s="74">
        <v>4</v>
      </c>
      <c r="AH13" s="74">
        <v>4.3</v>
      </c>
      <c r="AI13" s="74">
        <v>4</v>
      </c>
      <c r="AJ13" s="74">
        <v>1.5</v>
      </c>
      <c r="AK13" s="74">
        <v>1.5</v>
      </c>
      <c r="AL13" s="74">
        <v>1.5</v>
      </c>
      <c r="AM13" s="74">
        <v>1</v>
      </c>
      <c r="AN13" s="74">
        <f t="shared" si="8"/>
        <v>20</v>
      </c>
    </row>
    <row r="14" spans="1:40" s="94" customFormat="1" x14ac:dyDescent="0.25">
      <c r="A14" s="94" t="s">
        <v>116</v>
      </c>
      <c r="C14" s="95">
        <f>SUM(C4:C13)</f>
        <v>1058760000</v>
      </c>
      <c r="D14" s="95">
        <f>SUM(D4:D13)</f>
        <v>1164636000</v>
      </c>
      <c r="E14" s="95">
        <f t="shared" si="6"/>
        <v>815245200</v>
      </c>
      <c r="F14" s="96">
        <f>SUM(F3:F13)</f>
        <v>275.36296900000002</v>
      </c>
      <c r="G14" s="94">
        <f>SUM(G3:G13)</f>
        <v>4.1999999999999993</v>
      </c>
      <c r="H14" s="94">
        <f t="shared" ref="H14:AN14" si="9">SUM(H3:H13)</f>
        <v>4.4499999999999984</v>
      </c>
      <c r="I14" s="94">
        <f t="shared" si="9"/>
        <v>12</v>
      </c>
      <c r="J14" s="94">
        <f t="shared" si="9"/>
        <v>17</v>
      </c>
      <c r="K14" s="94">
        <f t="shared" si="9"/>
        <v>19.5</v>
      </c>
      <c r="L14" s="94">
        <f t="shared" si="9"/>
        <v>12</v>
      </c>
      <c r="M14" s="94">
        <f t="shared" si="9"/>
        <v>12</v>
      </c>
      <c r="N14" s="94">
        <f t="shared" si="9"/>
        <v>12</v>
      </c>
      <c r="O14" s="94">
        <f t="shared" si="9"/>
        <v>13</v>
      </c>
      <c r="P14" s="94">
        <f t="shared" si="9"/>
        <v>9</v>
      </c>
      <c r="Q14" s="94">
        <f t="shared" si="9"/>
        <v>9</v>
      </c>
      <c r="R14" s="94">
        <f t="shared" si="9"/>
        <v>7</v>
      </c>
      <c r="S14" s="94">
        <f t="shared" si="9"/>
        <v>5.5</v>
      </c>
      <c r="T14" s="94">
        <f t="shared" si="9"/>
        <v>4</v>
      </c>
      <c r="U14" s="94">
        <f t="shared" si="9"/>
        <v>4.5</v>
      </c>
      <c r="V14" s="94">
        <f t="shared" si="9"/>
        <v>4.5</v>
      </c>
      <c r="W14" s="94">
        <f t="shared" si="9"/>
        <v>5</v>
      </c>
      <c r="X14" s="94">
        <f t="shared" si="9"/>
        <v>8.5500000000000007</v>
      </c>
      <c r="Y14" s="94">
        <f t="shared" si="9"/>
        <v>11.25</v>
      </c>
      <c r="Z14" s="94">
        <f t="shared" si="9"/>
        <v>15</v>
      </c>
      <c r="AA14" s="94">
        <f t="shared" si="9"/>
        <v>10.6</v>
      </c>
      <c r="AB14" s="94">
        <f t="shared" si="9"/>
        <v>8.25</v>
      </c>
      <c r="AC14" s="94">
        <f t="shared" si="9"/>
        <v>7.25</v>
      </c>
      <c r="AD14" s="94">
        <f t="shared" si="9"/>
        <v>9</v>
      </c>
      <c r="AE14" s="94">
        <f t="shared" si="9"/>
        <v>7.3</v>
      </c>
      <c r="AF14" s="94">
        <f t="shared" si="9"/>
        <v>9.5</v>
      </c>
      <c r="AG14" s="94">
        <f t="shared" si="9"/>
        <v>11.3</v>
      </c>
      <c r="AH14" s="94">
        <f t="shared" si="9"/>
        <v>6.8</v>
      </c>
      <c r="AI14" s="94">
        <f t="shared" si="9"/>
        <v>6.5</v>
      </c>
      <c r="AJ14" s="94">
        <f t="shared" si="9"/>
        <v>4</v>
      </c>
      <c r="AK14" s="94">
        <f t="shared" si="9"/>
        <v>3</v>
      </c>
      <c r="AL14" s="94">
        <f t="shared" si="9"/>
        <v>2</v>
      </c>
      <c r="AM14" s="94">
        <f t="shared" si="9"/>
        <v>1</v>
      </c>
      <c r="AN14" s="94">
        <f t="shared" si="9"/>
        <v>275.95</v>
      </c>
    </row>
    <row r="15" spans="1:40" s="80" customFormat="1" x14ac:dyDescent="0.25">
      <c r="C15" s="81"/>
      <c r="D15" s="81"/>
      <c r="E15" s="81"/>
      <c r="F15" s="93"/>
    </row>
    <row r="16" spans="1:40" x14ac:dyDescent="0.25">
      <c r="A16" s="74" t="s">
        <v>140</v>
      </c>
      <c r="G16" s="74">
        <v>2</v>
      </c>
      <c r="H16" s="74">
        <v>3</v>
      </c>
      <c r="I16" s="74">
        <v>6</v>
      </c>
      <c r="J16" s="74">
        <v>8</v>
      </c>
      <c r="K16" s="74">
        <v>9.25</v>
      </c>
      <c r="L16" s="74">
        <f>K16</f>
        <v>9.25</v>
      </c>
      <c r="M16" s="74">
        <f t="shared" ref="M16:AD16" si="10">L16</f>
        <v>9.25</v>
      </c>
      <c r="N16" s="74">
        <f t="shared" si="10"/>
        <v>9.25</v>
      </c>
      <c r="O16" s="74">
        <f t="shared" si="10"/>
        <v>9.25</v>
      </c>
      <c r="P16" s="74">
        <f t="shared" si="10"/>
        <v>9.25</v>
      </c>
      <c r="Q16" s="74">
        <f t="shared" si="10"/>
        <v>9.25</v>
      </c>
      <c r="R16" s="74">
        <f t="shared" si="10"/>
        <v>9.25</v>
      </c>
      <c r="S16" s="74">
        <f t="shared" si="10"/>
        <v>9.25</v>
      </c>
      <c r="T16" s="74">
        <f t="shared" si="10"/>
        <v>9.25</v>
      </c>
      <c r="U16" s="74">
        <f t="shared" si="10"/>
        <v>9.25</v>
      </c>
      <c r="V16" s="74">
        <f t="shared" si="10"/>
        <v>9.25</v>
      </c>
      <c r="W16" s="74">
        <f t="shared" si="10"/>
        <v>9.25</v>
      </c>
      <c r="X16" s="74">
        <f t="shared" si="10"/>
        <v>9.25</v>
      </c>
      <c r="Y16" s="74">
        <f t="shared" si="10"/>
        <v>9.25</v>
      </c>
      <c r="Z16" s="74">
        <f t="shared" si="10"/>
        <v>9.25</v>
      </c>
      <c r="AA16" s="74">
        <f t="shared" si="10"/>
        <v>9.25</v>
      </c>
      <c r="AB16" s="74">
        <f t="shared" si="10"/>
        <v>9.25</v>
      </c>
      <c r="AC16" s="74">
        <f t="shared" si="10"/>
        <v>9.25</v>
      </c>
      <c r="AD16" s="74">
        <f t="shared" si="10"/>
        <v>9.25</v>
      </c>
      <c r="AE16" s="74">
        <v>8</v>
      </c>
      <c r="AF16" s="74">
        <v>8</v>
      </c>
      <c r="AG16" s="74">
        <v>8</v>
      </c>
      <c r="AH16" s="74">
        <v>7</v>
      </c>
      <c r="AI16" s="74">
        <v>7</v>
      </c>
      <c r="AJ16" s="74">
        <v>3</v>
      </c>
      <c r="AK16" s="74">
        <v>3</v>
      </c>
      <c r="AL16" s="74">
        <v>3</v>
      </c>
      <c r="AM16" s="74">
        <v>2</v>
      </c>
      <c r="AN16" s="74">
        <f t="shared" ref="AN16" si="11">SUM(G16:AM16)</f>
        <v>253</v>
      </c>
    </row>
    <row r="17" spans="1:40" x14ac:dyDescent="0.25">
      <c r="A17" s="74" t="s">
        <v>141</v>
      </c>
    </row>
    <row r="18" spans="1:40" s="80" customFormat="1" x14ac:dyDescent="0.25">
      <c r="C18" s="81"/>
      <c r="D18" s="81"/>
      <c r="E18" s="81"/>
      <c r="F18" s="93"/>
    </row>
    <row r="21" spans="1:40" s="72" customFormat="1" x14ac:dyDescent="0.25">
      <c r="A21" s="72" t="s">
        <v>110</v>
      </c>
      <c r="C21" s="90" t="s">
        <v>133</v>
      </c>
      <c r="D21" s="72" t="s">
        <v>134</v>
      </c>
      <c r="E21" s="72" t="s">
        <v>135</v>
      </c>
      <c r="F21" s="72" t="s">
        <v>136</v>
      </c>
      <c r="G21" s="72">
        <v>2025</v>
      </c>
      <c r="H21" s="72">
        <v>2026</v>
      </c>
      <c r="I21" s="72">
        <v>2027</v>
      </c>
      <c r="J21" s="72">
        <v>2028</v>
      </c>
      <c r="K21" s="72">
        <v>2029</v>
      </c>
      <c r="L21" s="72">
        <v>2030</v>
      </c>
      <c r="M21" s="72">
        <v>2031</v>
      </c>
      <c r="N21" s="72">
        <v>2032</v>
      </c>
      <c r="O21" s="72">
        <v>2033</v>
      </c>
      <c r="P21" s="72">
        <v>2034</v>
      </c>
      <c r="Q21" s="72">
        <v>2035</v>
      </c>
      <c r="R21" s="72">
        <v>2036</v>
      </c>
      <c r="S21" s="72">
        <v>2037</v>
      </c>
      <c r="T21" s="72">
        <v>2038</v>
      </c>
      <c r="U21" s="72">
        <v>2039</v>
      </c>
      <c r="V21" s="72">
        <v>2040</v>
      </c>
      <c r="W21" s="72">
        <f>V21+1</f>
        <v>2041</v>
      </c>
      <c r="X21" s="72">
        <f t="shared" ref="X21:Z21" si="12">W21+1</f>
        <v>2042</v>
      </c>
      <c r="Y21" s="72">
        <f t="shared" si="12"/>
        <v>2043</v>
      </c>
      <c r="Z21" s="72">
        <f t="shared" si="12"/>
        <v>2044</v>
      </c>
      <c r="AA21" s="72">
        <v>2045</v>
      </c>
      <c r="AB21" s="72">
        <f>AA21+1</f>
        <v>2046</v>
      </c>
      <c r="AC21" s="72">
        <f t="shared" ref="AC21:AL21" si="13">AB21+1</f>
        <v>2047</v>
      </c>
      <c r="AD21" s="72">
        <f t="shared" si="13"/>
        <v>2048</v>
      </c>
      <c r="AE21" s="72">
        <f t="shared" si="13"/>
        <v>2049</v>
      </c>
      <c r="AF21" s="72">
        <f t="shared" si="13"/>
        <v>2050</v>
      </c>
      <c r="AG21" s="72">
        <f t="shared" si="13"/>
        <v>2051</v>
      </c>
      <c r="AH21" s="72">
        <f t="shared" si="13"/>
        <v>2052</v>
      </c>
      <c r="AI21" s="72">
        <f t="shared" si="13"/>
        <v>2053</v>
      </c>
      <c r="AJ21" s="72">
        <f t="shared" si="13"/>
        <v>2054</v>
      </c>
      <c r="AK21" s="72">
        <f t="shared" si="13"/>
        <v>2055</v>
      </c>
      <c r="AL21" s="72">
        <f t="shared" si="13"/>
        <v>2056</v>
      </c>
      <c r="AM21" s="72">
        <f>AL21+1</f>
        <v>2057</v>
      </c>
      <c r="AN21" s="74" t="s">
        <v>142</v>
      </c>
    </row>
    <row r="22" spans="1:40" s="72" customFormat="1" x14ac:dyDescent="0.25">
      <c r="A22" s="91" t="s">
        <v>137</v>
      </c>
      <c r="B22" s="91"/>
      <c r="C22" s="90">
        <f>0</f>
        <v>0</v>
      </c>
      <c r="D22" s="72">
        <f>0</f>
        <v>0</v>
      </c>
      <c r="E22" s="76">
        <f>0</f>
        <v>0</v>
      </c>
      <c r="F22" s="92">
        <f>C33*0.7*0.03/500000</f>
        <v>44.467919999999999</v>
      </c>
      <c r="G22" s="97">
        <f>500000*G3</f>
        <v>750000</v>
      </c>
      <c r="H22" s="97">
        <f t="shared" ref="H22:AM27" si="14">500000*H3</f>
        <v>875000</v>
      </c>
      <c r="I22" s="97">
        <f t="shared" si="14"/>
        <v>1000000</v>
      </c>
      <c r="J22" s="97">
        <f t="shared" si="14"/>
        <v>1000000</v>
      </c>
      <c r="K22" s="97">
        <f t="shared" si="14"/>
        <v>1000000</v>
      </c>
      <c r="L22" s="97">
        <f t="shared" si="14"/>
        <v>1000000</v>
      </c>
      <c r="M22" s="97">
        <f t="shared" si="14"/>
        <v>1000000</v>
      </c>
      <c r="N22" s="97">
        <f t="shared" si="14"/>
        <v>1000000</v>
      </c>
      <c r="O22" s="97">
        <f t="shared" si="14"/>
        <v>1000000</v>
      </c>
      <c r="P22" s="97">
        <f t="shared" si="14"/>
        <v>1000000</v>
      </c>
      <c r="Q22" s="97">
        <f t="shared" si="14"/>
        <v>1000000</v>
      </c>
      <c r="R22" s="97">
        <f t="shared" si="14"/>
        <v>1000000</v>
      </c>
      <c r="S22" s="97">
        <f t="shared" si="14"/>
        <v>1000000</v>
      </c>
      <c r="T22" s="97">
        <f t="shared" si="14"/>
        <v>750000</v>
      </c>
      <c r="U22" s="97">
        <f t="shared" si="14"/>
        <v>750000</v>
      </c>
      <c r="V22" s="97">
        <f t="shared" si="14"/>
        <v>500000</v>
      </c>
      <c r="W22" s="97">
        <f t="shared" si="14"/>
        <v>500000</v>
      </c>
      <c r="X22" s="97">
        <f t="shared" si="14"/>
        <v>500000</v>
      </c>
      <c r="Y22" s="97">
        <f t="shared" si="14"/>
        <v>500000</v>
      </c>
      <c r="Z22" s="97">
        <f t="shared" si="14"/>
        <v>500000</v>
      </c>
      <c r="AA22" s="97">
        <f t="shared" si="14"/>
        <v>500000</v>
      </c>
      <c r="AB22" s="97">
        <f t="shared" si="14"/>
        <v>500000</v>
      </c>
      <c r="AC22" s="97">
        <f t="shared" si="14"/>
        <v>500000</v>
      </c>
      <c r="AD22" s="97">
        <f t="shared" si="14"/>
        <v>500000</v>
      </c>
      <c r="AE22" s="97">
        <f t="shared" si="14"/>
        <v>500000</v>
      </c>
      <c r="AF22" s="97">
        <f t="shared" si="14"/>
        <v>500000</v>
      </c>
      <c r="AG22" s="97">
        <f t="shared" si="14"/>
        <v>500000</v>
      </c>
      <c r="AH22" s="97">
        <f t="shared" si="14"/>
        <v>500000</v>
      </c>
      <c r="AI22" s="97">
        <f t="shared" si="14"/>
        <v>500000</v>
      </c>
      <c r="AJ22" s="97">
        <f t="shared" si="14"/>
        <v>500000</v>
      </c>
      <c r="AK22" s="97">
        <f t="shared" si="14"/>
        <v>250000</v>
      </c>
      <c r="AL22" s="97">
        <f t="shared" si="14"/>
        <v>250000</v>
      </c>
      <c r="AM22" s="97">
        <f t="shared" si="14"/>
        <v>0</v>
      </c>
      <c r="AN22" s="88">
        <f>SUM(G22:AM22)</f>
        <v>22125000</v>
      </c>
    </row>
    <row r="23" spans="1:40" x14ac:dyDescent="0.25">
      <c r="A23" s="74" t="s">
        <v>138</v>
      </c>
      <c r="B23" s="75" t="s">
        <v>118</v>
      </c>
      <c r="C23" s="76">
        <v>328593750</v>
      </c>
      <c r="D23" s="76">
        <f>C23*1.1</f>
        <v>361453125</v>
      </c>
      <c r="E23" s="76">
        <f>D23*0.7</f>
        <v>253017187.49999997</v>
      </c>
      <c r="F23" s="92">
        <f>E23*0.13/500000</f>
        <v>65.784468749999988</v>
      </c>
      <c r="G23" s="97">
        <f>500000*G4</f>
        <v>750000</v>
      </c>
      <c r="H23" s="97">
        <f t="shared" si="14"/>
        <v>750000</v>
      </c>
      <c r="I23" s="97">
        <f t="shared" si="14"/>
        <v>5000000</v>
      </c>
      <c r="J23" s="97">
        <f t="shared" si="14"/>
        <v>7500000</v>
      </c>
      <c r="K23" s="97">
        <f t="shared" si="14"/>
        <v>7500000</v>
      </c>
      <c r="L23" s="97">
        <f t="shared" si="14"/>
        <v>2500000</v>
      </c>
      <c r="M23" s="97">
        <f t="shared" si="14"/>
        <v>2000000</v>
      </c>
      <c r="N23" s="97">
        <f t="shared" si="14"/>
        <v>2000000</v>
      </c>
      <c r="O23" s="97">
        <f t="shared" si="14"/>
        <v>2000000</v>
      </c>
      <c r="P23" s="97">
        <f t="shared" si="14"/>
        <v>2000000</v>
      </c>
      <c r="Q23" s="97">
        <f t="shared" si="14"/>
        <v>2000000</v>
      </c>
      <c r="R23" s="97">
        <f t="shared" si="14"/>
        <v>1000000</v>
      </c>
      <c r="S23" s="97">
        <f t="shared" si="14"/>
        <v>250000</v>
      </c>
      <c r="T23" s="97">
        <f t="shared" si="14"/>
        <v>250000</v>
      </c>
      <c r="U23" s="97">
        <f t="shared" si="14"/>
        <v>0</v>
      </c>
      <c r="V23" s="97">
        <f t="shared" si="14"/>
        <v>0</v>
      </c>
      <c r="W23" s="97">
        <f t="shared" si="14"/>
        <v>0</v>
      </c>
      <c r="X23" s="97">
        <f t="shared" si="14"/>
        <v>0</v>
      </c>
      <c r="Y23" s="97">
        <f t="shared" si="14"/>
        <v>0</v>
      </c>
      <c r="Z23" s="97">
        <f t="shared" si="14"/>
        <v>0</v>
      </c>
      <c r="AA23" s="97">
        <f t="shared" si="14"/>
        <v>0</v>
      </c>
      <c r="AB23" s="97">
        <f t="shared" si="14"/>
        <v>0</v>
      </c>
      <c r="AC23" s="97">
        <f t="shared" si="14"/>
        <v>0</v>
      </c>
      <c r="AD23" s="97">
        <f t="shared" si="14"/>
        <v>0</v>
      </c>
      <c r="AE23" s="97">
        <f t="shared" si="14"/>
        <v>0</v>
      </c>
      <c r="AF23" s="97">
        <f t="shared" si="14"/>
        <v>0</v>
      </c>
      <c r="AG23" s="97">
        <f t="shared" si="14"/>
        <v>0</v>
      </c>
      <c r="AH23" s="97">
        <f t="shared" si="14"/>
        <v>0</v>
      </c>
      <c r="AI23" s="97">
        <f t="shared" si="14"/>
        <v>0</v>
      </c>
      <c r="AJ23" s="97">
        <f t="shared" si="14"/>
        <v>0</v>
      </c>
      <c r="AK23" s="97">
        <f t="shared" si="14"/>
        <v>0</v>
      </c>
      <c r="AL23" s="97">
        <f t="shared" si="14"/>
        <v>0</v>
      </c>
      <c r="AM23" s="97">
        <f t="shared" si="14"/>
        <v>0</v>
      </c>
      <c r="AN23" s="88">
        <f t="shared" ref="AN23:AN27" si="15">SUM(G23:AM23)</f>
        <v>35500000</v>
      </c>
    </row>
    <row r="24" spans="1:40" x14ac:dyDescent="0.25">
      <c r="A24" s="74" t="s">
        <v>139</v>
      </c>
      <c r="B24" s="75" t="s">
        <v>120</v>
      </c>
      <c r="C24" s="76">
        <v>197923750</v>
      </c>
      <c r="D24" s="76">
        <f t="shared" ref="D24:D32" si="16">C24*1.1</f>
        <v>217716125.00000003</v>
      </c>
      <c r="E24" s="76">
        <f t="shared" ref="E24:E27" si="17">D24*0.7</f>
        <v>152401287.5</v>
      </c>
      <c r="F24" s="92">
        <f>E24*0.14/500000</f>
        <v>42.672360500000011</v>
      </c>
      <c r="G24" s="97">
        <f>500000*G5</f>
        <v>250000</v>
      </c>
      <c r="H24" s="97">
        <f t="shared" si="14"/>
        <v>250000</v>
      </c>
      <c r="I24" s="97">
        <f t="shared" si="14"/>
        <v>0</v>
      </c>
      <c r="J24" s="98">
        <f t="shared" si="14"/>
        <v>0</v>
      </c>
      <c r="K24" s="97">
        <f t="shared" si="14"/>
        <v>1250000</v>
      </c>
      <c r="L24" s="97">
        <f t="shared" si="14"/>
        <v>2500000</v>
      </c>
      <c r="M24" s="97">
        <f t="shared" si="14"/>
        <v>3000000</v>
      </c>
      <c r="N24" s="97">
        <f t="shared" si="14"/>
        <v>3000000</v>
      </c>
      <c r="O24" s="97">
        <f t="shared" si="14"/>
        <v>3500000</v>
      </c>
      <c r="P24" s="97">
        <f t="shared" si="14"/>
        <v>1500000</v>
      </c>
      <c r="Q24" s="97">
        <f t="shared" si="14"/>
        <v>1500000</v>
      </c>
      <c r="R24" s="97">
        <f t="shared" si="14"/>
        <v>1500000</v>
      </c>
      <c r="S24" s="97">
        <f t="shared" si="14"/>
        <v>1500000</v>
      </c>
      <c r="T24" s="97">
        <f t="shared" si="14"/>
        <v>1000000</v>
      </c>
      <c r="U24" s="97">
        <f t="shared" si="14"/>
        <v>500000</v>
      </c>
      <c r="V24" s="97">
        <f t="shared" si="14"/>
        <v>0</v>
      </c>
      <c r="W24" s="97">
        <f t="shared" si="14"/>
        <v>0</v>
      </c>
      <c r="X24" s="97">
        <f t="shared" si="14"/>
        <v>0</v>
      </c>
      <c r="Y24" s="97">
        <f t="shared" si="14"/>
        <v>0</v>
      </c>
      <c r="Z24" s="97">
        <f t="shared" si="14"/>
        <v>0</v>
      </c>
      <c r="AA24" s="97">
        <f t="shared" si="14"/>
        <v>0</v>
      </c>
      <c r="AB24" s="97">
        <f t="shared" si="14"/>
        <v>0</v>
      </c>
      <c r="AC24" s="97">
        <f t="shared" si="14"/>
        <v>0</v>
      </c>
      <c r="AD24" s="97">
        <f t="shared" si="14"/>
        <v>0</v>
      </c>
      <c r="AE24" s="97">
        <f t="shared" si="14"/>
        <v>0</v>
      </c>
      <c r="AF24" s="97">
        <f t="shared" si="14"/>
        <v>0</v>
      </c>
      <c r="AG24" s="97">
        <f t="shared" si="14"/>
        <v>0</v>
      </c>
      <c r="AH24" s="97">
        <f t="shared" si="14"/>
        <v>0</v>
      </c>
      <c r="AI24" s="97">
        <f t="shared" si="14"/>
        <v>0</v>
      </c>
      <c r="AJ24" s="97">
        <f t="shared" si="14"/>
        <v>0</v>
      </c>
      <c r="AK24" s="97">
        <f t="shared" si="14"/>
        <v>0</v>
      </c>
      <c r="AL24" s="97">
        <f t="shared" si="14"/>
        <v>0</v>
      </c>
      <c r="AM24" s="97">
        <f t="shared" si="14"/>
        <v>0</v>
      </c>
      <c r="AN24" s="88">
        <f t="shared" si="15"/>
        <v>21250000</v>
      </c>
    </row>
    <row r="25" spans="1:40" x14ac:dyDescent="0.25">
      <c r="A25" s="74" t="s">
        <v>33</v>
      </c>
      <c r="B25" s="75" t="s">
        <v>121</v>
      </c>
      <c r="C25" s="76">
        <v>63765000</v>
      </c>
      <c r="D25" s="76">
        <f t="shared" si="16"/>
        <v>70141500</v>
      </c>
      <c r="E25" s="76">
        <f t="shared" si="17"/>
        <v>49099050</v>
      </c>
      <c r="F25" s="92">
        <f t="shared" ref="F25:F27" si="18">E25*0.15/500000</f>
        <v>14.729715000000001</v>
      </c>
      <c r="G25" s="97">
        <f>500000*G6</f>
        <v>50000</v>
      </c>
      <c r="H25" s="97">
        <f t="shared" si="14"/>
        <v>50000</v>
      </c>
      <c r="I25" s="97">
        <f t="shared" si="14"/>
        <v>0</v>
      </c>
      <c r="J25" s="97">
        <f t="shared" si="14"/>
        <v>0</v>
      </c>
      <c r="K25" s="97">
        <f t="shared" si="14"/>
        <v>0</v>
      </c>
      <c r="L25" s="97">
        <f t="shared" si="14"/>
        <v>0</v>
      </c>
      <c r="M25" s="97">
        <f t="shared" si="14"/>
        <v>0</v>
      </c>
      <c r="N25" s="97">
        <f t="shared" si="14"/>
        <v>0</v>
      </c>
      <c r="O25" s="97">
        <f t="shared" si="14"/>
        <v>0</v>
      </c>
      <c r="P25" s="97">
        <f t="shared" si="14"/>
        <v>0</v>
      </c>
      <c r="Q25" s="97">
        <f t="shared" si="14"/>
        <v>0</v>
      </c>
      <c r="R25" s="97">
        <f t="shared" si="14"/>
        <v>0</v>
      </c>
      <c r="S25" s="97">
        <f t="shared" si="14"/>
        <v>0</v>
      </c>
      <c r="T25" s="97">
        <f t="shared" si="14"/>
        <v>0</v>
      </c>
      <c r="U25" s="97">
        <f t="shared" si="14"/>
        <v>0</v>
      </c>
      <c r="V25" s="97">
        <f t="shared" si="14"/>
        <v>250000</v>
      </c>
      <c r="W25" s="97">
        <f t="shared" si="14"/>
        <v>500000</v>
      </c>
      <c r="X25" s="97">
        <f t="shared" si="14"/>
        <v>1500000</v>
      </c>
      <c r="Y25" s="97">
        <f t="shared" si="14"/>
        <v>1500000</v>
      </c>
      <c r="Z25" s="97">
        <f t="shared" si="14"/>
        <v>1500000</v>
      </c>
      <c r="AA25" s="97">
        <f t="shared" si="14"/>
        <v>650000</v>
      </c>
      <c r="AB25" s="97">
        <f t="shared" si="14"/>
        <v>625000</v>
      </c>
      <c r="AC25" s="97">
        <f t="shared" si="14"/>
        <v>625000</v>
      </c>
      <c r="AD25" s="97">
        <f t="shared" si="14"/>
        <v>250000</v>
      </c>
      <c r="AE25" s="97">
        <f t="shared" si="14"/>
        <v>0</v>
      </c>
      <c r="AF25" s="97">
        <f t="shared" si="14"/>
        <v>0</v>
      </c>
      <c r="AG25" s="97">
        <f t="shared" si="14"/>
        <v>0</v>
      </c>
      <c r="AH25" s="97">
        <f t="shared" si="14"/>
        <v>0</v>
      </c>
      <c r="AI25" s="97">
        <f t="shared" si="14"/>
        <v>0</v>
      </c>
      <c r="AJ25" s="97">
        <f t="shared" si="14"/>
        <v>0</v>
      </c>
      <c r="AK25" s="97">
        <f t="shared" si="14"/>
        <v>0</v>
      </c>
      <c r="AL25" s="97">
        <f t="shared" si="14"/>
        <v>0</v>
      </c>
      <c r="AM25" s="97">
        <f t="shared" si="14"/>
        <v>0</v>
      </c>
      <c r="AN25" s="88">
        <f t="shared" si="15"/>
        <v>7500000</v>
      </c>
    </row>
    <row r="26" spans="1:40" x14ac:dyDescent="0.25">
      <c r="A26" s="74" t="s">
        <v>34</v>
      </c>
      <c r="B26" s="75" t="s">
        <v>122</v>
      </c>
      <c r="C26" s="76">
        <v>67083750</v>
      </c>
      <c r="D26" s="76">
        <f t="shared" si="16"/>
        <v>73792125</v>
      </c>
      <c r="E26" s="76">
        <f t="shared" si="17"/>
        <v>51654487.5</v>
      </c>
      <c r="F26" s="92">
        <f>E26*0.12/500000</f>
        <v>12.397076999999999</v>
      </c>
      <c r="G26" s="97">
        <f t="shared" ref="G26:Y26" si="19">500000*G7</f>
        <v>50000</v>
      </c>
      <c r="H26" s="97">
        <f t="shared" si="19"/>
        <v>50000</v>
      </c>
      <c r="I26" s="97">
        <f t="shared" si="19"/>
        <v>0</v>
      </c>
      <c r="J26" s="97">
        <f t="shared" si="19"/>
        <v>0</v>
      </c>
      <c r="K26" s="97">
        <f t="shared" si="19"/>
        <v>0</v>
      </c>
      <c r="L26" s="97">
        <f t="shared" si="19"/>
        <v>0</v>
      </c>
      <c r="M26" s="97">
        <f t="shared" si="19"/>
        <v>0</v>
      </c>
      <c r="N26" s="97">
        <f t="shared" si="19"/>
        <v>0</v>
      </c>
      <c r="O26" s="97">
        <f t="shared" si="19"/>
        <v>0</v>
      </c>
      <c r="P26" s="97">
        <f t="shared" si="19"/>
        <v>0</v>
      </c>
      <c r="Q26" s="97">
        <f t="shared" si="19"/>
        <v>0</v>
      </c>
      <c r="R26" s="97">
        <f t="shared" si="19"/>
        <v>0</v>
      </c>
      <c r="S26" s="97">
        <f t="shared" si="19"/>
        <v>0</v>
      </c>
      <c r="T26" s="97">
        <f t="shared" si="19"/>
        <v>0</v>
      </c>
      <c r="U26" s="97">
        <f t="shared" si="19"/>
        <v>1000000</v>
      </c>
      <c r="V26" s="97">
        <f t="shared" si="19"/>
        <v>1500000</v>
      </c>
      <c r="W26" s="97">
        <f t="shared" si="19"/>
        <v>1500000</v>
      </c>
      <c r="X26" s="97">
        <f t="shared" si="19"/>
        <v>625000</v>
      </c>
      <c r="Y26" s="97">
        <f t="shared" si="19"/>
        <v>625000</v>
      </c>
      <c r="Z26" s="97">
        <f t="shared" si="14"/>
        <v>500000</v>
      </c>
      <c r="AA26" s="97">
        <f t="shared" si="14"/>
        <v>250000</v>
      </c>
      <c r="AB26" s="97">
        <f t="shared" si="14"/>
        <v>0</v>
      </c>
      <c r="AC26" s="97">
        <f t="shared" si="14"/>
        <v>0</v>
      </c>
      <c r="AD26" s="97">
        <f t="shared" si="14"/>
        <v>0</v>
      </c>
      <c r="AE26" s="97">
        <f t="shared" si="14"/>
        <v>0</v>
      </c>
      <c r="AF26" s="97">
        <f t="shared" si="14"/>
        <v>0</v>
      </c>
      <c r="AG26" s="97">
        <f t="shared" si="14"/>
        <v>0</v>
      </c>
      <c r="AH26" s="97">
        <f t="shared" si="14"/>
        <v>0</v>
      </c>
      <c r="AI26" s="97">
        <f t="shared" si="14"/>
        <v>0</v>
      </c>
      <c r="AJ26" s="97">
        <f t="shared" si="14"/>
        <v>0</v>
      </c>
      <c r="AK26" s="97">
        <f t="shared" si="14"/>
        <v>0</v>
      </c>
      <c r="AL26" s="97">
        <f t="shared" si="14"/>
        <v>0</v>
      </c>
      <c r="AM26" s="97">
        <f t="shared" si="14"/>
        <v>0</v>
      </c>
      <c r="AN26" s="88">
        <f t="shared" si="15"/>
        <v>6100000</v>
      </c>
    </row>
    <row r="27" spans="1:40" x14ac:dyDescent="0.25">
      <c r="A27" s="74" t="s">
        <v>123</v>
      </c>
      <c r="B27" s="75" t="s">
        <v>121</v>
      </c>
      <c r="C27" s="76">
        <v>50000000</v>
      </c>
      <c r="D27" s="76">
        <f t="shared" si="16"/>
        <v>55000000.000000007</v>
      </c>
      <c r="E27" s="76">
        <f t="shared" si="17"/>
        <v>38500000</v>
      </c>
      <c r="F27" s="92">
        <f t="shared" si="18"/>
        <v>11.55</v>
      </c>
      <c r="G27" s="97">
        <f t="shared" ref="G27:S27" si="20">500000*G8</f>
        <v>50000</v>
      </c>
      <c r="H27" s="97">
        <f t="shared" si="20"/>
        <v>50000</v>
      </c>
      <c r="I27" s="97">
        <f t="shared" si="20"/>
        <v>0</v>
      </c>
      <c r="J27" s="97">
        <f t="shared" si="20"/>
        <v>0</v>
      </c>
      <c r="K27" s="97">
        <f t="shared" si="20"/>
        <v>0</v>
      </c>
      <c r="L27" s="97">
        <f t="shared" si="20"/>
        <v>0</v>
      </c>
      <c r="M27" s="97">
        <f t="shared" si="20"/>
        <v>0</v>
      </c>
      <c r="N27" s="97">
        <f t="shared" si="20"/>
        <v>0</v>
      </c>
      <c r="O27" s="97">
        <f t="shared" si="20"/>
        <v>0</v>
      </c>
      <c r="P27" s="97">
        <f t="shared" si="20"/>
        <v>0</v>
      </c>
      <c r="Q27" s="97">
        <f t="shared" si="20"/>
        <v>0</v>
      </c>
      <c r="R27" s="97">
        <f t="shared" si="20"/>
        <v>0</v>
      </c>
      <c r="S27" s="97">
        <f t="shared" si="20"/>
        <v>0</v>
      </c>
      <c r="T27" s="97">
        <f t="shared" ref="T27:Y27" si="21">500000*V8</f>
        <v>0</v>
      </c>
      <c r="U27" s="97">
        <f t="shared" si="21"/>
        <v>0</v>
      </c>
      <c r="V27" s="97">
        <f t="shared" si="21"/>
        <v>1150000</v>
      </c>
      <c r="W27" s="97">
        <f t="shared" si="21"/>
        <v>1500000</v>
      </c>
      <c r="X27" s="97">
        <f t="shared" si="21"/>
        <v>1500000</v>
      </c>
      <c r="Y27" s="97">
        <f t="shared" si="21"/>
        <v>500000</v>
      </c>
      <c r="Z27" s="97">
        <f t="shared" si="14"/>
        <v>1500000</v>
      </c>
      <c r="AA27" s="97">
        <f t="shared" si="14"/>
        <v>500000</v>
      </c>
      <c r="AB27" s="97">
        <f t="shared" si="14"/>
        <v>500000</v>
      </c>
      <c r="AC27" s="97">
        <f t="shared" si="14"/>
        <v>500000</v>
      </c>
      <c r="AD27" s="97">
        <f t="shared" si="14"/>
        <v>250000</v>
      </c>
      <c r="AE27" s="97">
        <f t="shared" si="14"/>
        <v>0</v>
      </c>
      <c r="AF27" s="97">
        <f t="shared" si="14"/>
        <v>0</v>
      </c>
      <c r="AG27" s="97">
        <f t="shared" si="14"/>
        <v>0</v>
      </c>
      <c r="AH27" s="97">
        <f t="shared" si="14"/>
        <v>0</v>
      </c>
      <c r="AI27" s="97">
        <f t="shared" si="14"/>
        <v>0</v>
      </c>
      <c r="AJ27" s="97">
        <f t="shared" si="14"/>
        <v>0</v>
      </c>
      <c r="AK27" s="97">
        <f t="shared" si="14"/>
        <v>0</v>
      </c>
      <c r="AL27" s="97">
        <f t="shared" si="14"/>
        <v>0</v>
      </c>
      <c r="AM27" s="97">
        <f t="shared" si="14"/>
        <v>0</v>
      </c>
      <c r="AN27" s="88">
        <f t="shared" si="15"/>
        <v>8000000</v>
      </c>
    </row>
    <row r="28" spans="1:40" s="99" customFormat="1" x14ac:dyDescent="0.25">
      <c r="B28" s="80"/>
      <c r="C28" s="100"/>
      <c r="D28" s="100"/>
      <c r="E28" s="100"/>
      <c r="F28" s="101"/>
    </row>
    <row r="29" spans="1:40" x14ac:dyDescent="0.25">
      <c r="A29" s="74" t="s">
        <v>36</v>
      </c>
      <c r="B29" s="75" t="s">
        <v>121</v>
      </c>
      <c r="C29" s="76">
        <v>65322500</v>
      </c>
      <c r="D29" s="76">
        <f t="shared" si="16"/>
        <v>71854750</v>
      </c>
      <c r="E29" s="76">
        <f>D29*0.7</f>
        <v>50298325</v>
      </c>
      <c r="F29" s="92">
        <f>E29*0.15/500000</f>
        <v>15.0894975</v>
      </c>
      <c r="G29" s="97">
        <f t="shared" ref="G29:AM32" si="22">500000*G10</f>
        <v>50000</v>
      </c>
      <c r="H29" s="97">
        <f t="shared" si="22"/>
        <v>50000</v>
      </c>
      <c r="I29" s="97">
        <f t="shared" si="22"/>
        <v>0</v>
      </c>
      <c r="J29" s="97">
        <f t="shared" si="22"/>
        <v>0</v>
      </c>
      <c r="K29" s="97">
        <f t="shared" si="22"/>
        <v>0</v>
      </c>
      <c r="L29" s="97">
        <f t="shared" si="22"/>
        <v>0</v>
      </c>
      <c r="M29" s="97">
        <f t="shared" si="22"/>
        <v>0</v>
      </c>
      <c r="N29" s="97">
        <f t="shared" si="22"/>
        <v>0</v>
      </c>
      <c r="O29" s="97">
        <f t="shared" si="22"/>
        <v>0</v>
      </c>
      <c r="P29" s="97">
        <f t="shared" si="22"/>
        <v>0</v>
      </c>
      <c r="Q29" s="97">
        <f t="shared" si="22"/>
        <v>0</v>
      </c>
      <c r="R29" s="97">
        <f t="shared" si="22"/>
        <v>0</v>
      </c>
      <c r="S29" s="97">
        <f t="shared" si="22"/>
        <v>0</v>
      </c>
      <c r="T29" s="97">
        <f t="shared" si="22"/>
        <v>0</v>
      </c>
      <c r="U29" s="97">
        <f t="shared" si="22"/>
        <v>0</v>
      </c>
      <c r="V29" s="97">
        <f t="shared" si="22"/>
        <v>0</v>
      </c>
      <c r="W29" s="97">
        <f t="shared" si="22"/>
        <v>0</v>
      </c>
      <c r="X29" s="97">
        <f t="shared" si="22"/>
        <v>500000</v>
      </c>
      <c r="Y29" s="97">
        <f t="shared" si="22"/>
        <v>1500000</v>
      </c>
      <c r="Z29" s="97">
        <f t="shared" si="22"/>
        <v>2000000</v>
      </c>
      <c r="AA29" s="97">
        <f t="shared" si="22"/>
        <v>1900000</v>
      </c>
      <c r="AB29" s="97">
        <f t="shared" si="22"/>
        <v>500000</v>
      </c>
      <c r="AC29" s="97">
        <f t="shared" si="22"/>
        <v>500000</v>
      </c>
      <c r="AD29" s="97">
        <f t="shared" si="22"/>
        <v>500000</v>
      </c>
      <c r="AE29" s="97">
        <f t="shared" si="22"/>
        <v>0</v>
      </c>
      <c r="AF29" s="97">
        <f t="shared" si="22"/>
        <v>0</v>
      </c>
      <c r="AG29" s="97">
        <f t="shared" si="22"/>
        <v>0</v>
      </c>
      <c r="AH29" s="97">
        <f t="shared" si="22"/>
        <v>0</v>
      </c>
      <c r="AI29" s="97">
        <f t="shared" si="22"/>
        <v>0</v>
      </c>
      <c r="AJ29" s="97">
        <f t="shared" si="22"/>
        <v>0</v>
      </c>
      <c r="AK29" s="97">
        <f t="shared" si="22"/>
        <v>0</v>
      </c>
      <c r="AL29" s="97">
        <f t="shared" si="22"/>
        <v>0</v>
      </c>
      <c r="AM29" s="97">
        <f t="shared" si="22"/>
        <v>0</v>
      </c>
      <c r="AN29" s="88">
        <f>SUM(G29:AM29)</f>
        <v>7500000</v>
      </c>
    </row>
    <row r="30" spans="1:40" x14ac:dyDescent="0.25">
      <c r="A30" s="74" t="s">
        <v>37</v>
      </c>
      <c r="B30" s="75" t="s">
        <v>124</v>
      </c>
      <c r="C30" s="76">
        <v>74598750</v>
      </c>
      <c r="D30" s="76">
        <f t="shared" si="16"/>
        <v>82058625</v>
      </c>
      <c r="E30" s="76">
        <f t="shared" ref="E30:E32" si="23">D30*0.7</f>
        <v>57441037.5</v>
      </c>
      <c r="F30" s="92">
        <f t="shared" ref="F30:F32" si="24">E30*0.15/500000</f>
        <v>17.232311249999999</v>
      </c>
      <c r="G30" s="97">
        <f t="shared" si="22"/>
        <v>50000</v>
      </c>
      <c r="H30" s="97">
        <f t="shared" si="22"/>
        <v>50000</v>
      </c>
      <c r="I30" s="97">
        <f t="shared" si="22"/>
        <v>0</v>
      </c>
      <c r="J30" s="97">
        <f t="shared" si="22"/>
        <v>0</v>
      </c>
      <c r="K30" s="97">
        <f t="shared" si="22"/>
        <v>0</v>
      </c>
      <c r="L30" s="97">
        <f t="shared" si="22"/>
        <v>0</v>
      </c>
      <c r="M30" s="97">
        <f t="shared" si="22"/>
        <v>0</v>
      </c>
      <c r="N30" s="97">
        <f t="shared" si="22"/>
        <v>0</v>
      </c>
      <c r="O30" s="97">
        <f t="shared" si="22"/>
        <v>0</v>
      </c>
      <c r="P30" s="97">
        <f t="shared" si="22"/>
        <v>0</v>
      </c>
      <c r="Q30" s="97">
        <f t="shared" si="22"/>
        <v>0</v>
      </c>
      <c r="R30" s="97">
        <f t="shared" si="22"/>
        <v>0</v>
      </c>
      <c r="S30" s="97">
        <f t="shared" si="22"/>
        <v>0</v>
      </c>
      <c r="T30" s="97">
        <f t="shared" si="22"/>
        <v>0</v>
      </c>
      <c r="U30" s="97">
        <f t="shared" si="22"/>
        <v>0</v>
      </c>
      <c r="V30" s="97">
        <f t="shared" si="22"/>
        <v>0</v>
      </c>
      <c r="W30" s="97">
        <f t="shared" si="22"/>
        <v>0</v>
      </c>
      <c r="X30" s="97">
        <f t="shared" si="22"/>
        <v>0</v>
      </c>
      <c r="Y30" s="97">
        <f t="shared" si="22"/>
        <v>0</v>
      </c>
      <c r="Z30" s="97">
        <f t="shared" si="22"/>
        <v>1500000</v>
      </c>
      <c r="AA30" s="97">
        <f t="shared" si="22"/>
        <v>1500000</v>
      </c>
      <c r="AB30" s="97">
        <f t="shared" si="22"/>
        <v>2000000</v>
      </c>
      <c r="AC30" s="97">
        <f t="shared" si="22"/>
        <v>1500000</v>
      </c>
      <c r="AD30" s="97">
        <f t="shared" si="22"/>
        <v>500000</v>
      </c>
      <c r="AE30" s="97">
        <f t="shared" si="22"/>
        <v>500000</v>
      </c>
      <c r="AF30" s="97">
        <f t="shared" si="22"/>
        <v>500000</v>
      </c>
      <c r="AG30" s="97">
        <f t="shared" si="22"/>
        <v>400000</v>
      </c>
      <c r="AH30" s="97">
        <f t="shared" si="22"/>
        <v>0</v>
      </c>
      <c r="AI30" s="97">
        <f t="shared" si="22"/>
        <v>0</v>
      </c>
      <c r="AJ30" s="97">
        <f t="shared" si="22"/>
        <v>0</v>
      </c>
      <c r="AK30" s="97">
        <f t="shared" si="22"/>
        <v>0</v>
      </c>
      <c r="AL30" s="97">
        <f t="shared" si="22"/>
        <v>0</v>
      </c>
      <c r="AM30" s="97">
        <f t="shared" si="22"/>
        <v>0</v>
      </c>
      <c r="AN30" s="88">
        <f t="shared" ref="AN30:AN32" si="25">SUM(G30:AL30)</f>
        <v>8500000</v>
      </c>
    </row>
    <row r="31" spans="1:40" x14ac:dyDescent="0.25">
      <c r="A31" s="74" t="s">
        <v>38</v>
      </c>
      <c r="B31" s="75" t="s">
        <v>125</v>
      </c>
      <c r="C31" s="76">
        <v>123552500</v>
      </c>
      <c r="D31" s="76">
        <f t="shared" si="16"/>
        <v>135907750</v>
      </c>
      <c r="E31" s="76">
        <f t="shared" si="23"/>
        <v>95135425</v>
      </c>
      <c r="F31" s="92">
        <f>E31*0.14/500000</f>
        <v>26.637919000000004</v>
      </c>
      <c r="G31" s="97">
        <f t="shared" si="22"/>
        <v>50000</v>
      </c>
      <c r="H31" s="97">
        <f t="shared" si="22"/>
        <v>50000</v>
      </c>
      <c r="I31" s="97">
        <f t="shared" si="22"/>
        <v>0</v>
      </c>
      <c r="J31" s="97">
        <f t="shared" si="22"/>
        <v>0</v>
      </c>
      <c r="K31" s="97">
        <f t="shared" si="22"/>
        <v>0</v>
      </c>
      <c r="L31" s="97">
        <f t="shared" si="22"/>
        <v>0</v>
      </c>
      <c r="M31" s="97">
        <f t="shared" si="22"/>
        <v>0</v>
      </c>
      <c r="N31" s="97">
        <f t="shared" si="22"/>
        <v>0</v>
      </c>
      <c r="O31" s="97">
        <f t="shared" si="22"/>
        <v>0</v>
      </c>
      <c r="P31" s="97">
        <f t="shared" si="22"/>
        <v>0</v>
      </c>
      <c r="Q31" s="97">
        <f t="shared" si="22"/>
        <v>0</v>
      </c>
      <c r="R31" s="97">
        <f t="shared" si="22"/>
        <v>0</v>
      </c>
      <c r="S31" s="97">
        <f t="shared" si="22"/>
        <v>0</v>
      </c>
      <c r="T31" s="97">
        <f t="shared" si="22"/>
        <v>0</v>
      </c>
      <c r="U31" s="97">
        <f t="shared" si="22"/>
        <v>0</v>
      </c>
      <c r="V31" s="97">
        <f t="shared" si="22"/>
        <v>0</v>
      </c>
      <c r="W31" s="97">
        <f t="shared" si="22"/>
        <v>0</v>
      </c>
      <c r="X31" s="97">
        <f t="shared" si="22"/>
        <v>0</v>
      </c>
      <c r="Y31" s="97">
        <f t="shared" si="22"/>
        <v>0</v>
      </c>
      <c r="Z31" s="97">
        <f t="shared" si="22"/>
        <v>0</v>
      </c>
      <c r="AA31" s="97">
        <f t="shared" si="22"/>
        <v>0</v>
      </c>
      <c r="AB31" s="97">
        <f t="shared" si="22"/>
        <v>0</v>
      </c>
      <c r="AC31" s="97">
        <f t="shared" si="22"/>
        <v>0</v>
      </c>
      <c r="AD31" s="97">
        <f t="shared" si="22"/>
        <v>2500000</v>
      </c>
      <c r="AE31" s="97">
        <f t="shared" si="22"/>
        <v>2650000</v>
      </c>
      <c r="AF31" s="97">
        <f t="shared" si="22"/>
        <v>2750000</v>
      </c>
      <c r="AG31" s="97">
        <f t="shared" si="22"/>
        <v>2750000</v>
      </c>
      <c r="AH31" s="97">
        <f t="shared" si="22"/>
        <v>750000</v>
      </c>
      <c r="AI31" s="97">
        <f t="shared" si="22"/>
        <v>750000</v>
      </c>
      <c r="AJ31" s="97">
        <f t="shared" si="22"/>
        <v>750000</v>
      </c>
      <c r="AK31" s="97">
        <f t="shared" si="22"/>
        <v>500000</v>
      </c>
      <c r="AL31" s="97">
        <f t="shared" si="22"/>
        <v>0</v>
      </c>
      <c r="AM31" s="97">
        <f t="shared" si="22"/>
        <v>0</v>
      </c>
      <c r="AN31" s="88">
        <f t="shared" si="25"/>
        <v>13500000</v>
      </c>
    </row>
    <row r="32" spans="1:40" x14ac:dyDescent="0.25">
      <c r="A32" s="74" t="s">
        <v>126</v>
      </c>
      <c r="B32" s="75" t="s">
        <v>127</v>
      </c>
      <c r="C32" s="76">
        <v>87920000</v>
      </c>
      <c r="D32" s="76">
        <f t="shared" si="16"/>
        <v>96712000.000000015</v>
      </c>
      <c r="E32" s="76">
        <f t="shared" si="23"/>
        <v>67698400</v>
      </c>
      <c r="F32" s="92">
        <f t="shared" si="24"/>
        <v>20.309519999999999</v>
      </c>
      <c r="G32" s="97">
        <f t="shared" si="22"/>
        <v>50000</v>
      </c>
      <c r="H32" s="97">
        <f t="shared" si="22"/>
        <v>50000</v>
      </c>
      <c r="I32" s="97">
        <f t="shared" si="22"/>
        <v>0</v>
      </c>
      <c r="J32" s="97">
        <f t="shared" si="22"/>
        <v>0</v>
      </c>
      <c r="K32" s="97">
        <f t="shared" si="22"/>
        <v>0</v>
      </c>
      <c r="L32" s="97">
        <f t="shared" si="22"/>
        <v>0</v>
      </c>
      <c r="M32" s="97">
        <f t="shared" si="22"/>
        <v>0</v>
      </c>
      <c r="N32" s="97">
        <f t="shared" si="22"/>
        <v>0</v>
      </c>
      <c r="O32" s="97">
        <f t="shared" si="22"/>
        <v>0</v>
      </c>
      <c r="P32" s="97">
        <f t="shared" si="22"/>
        <v>0</v>
      </c>
      <c r="Q32" s="97">
        <f t="shared" si="22"/>
        <v>0</v>
      </c>
      <c r="R32" s="97">
        <f t="shared" si="22"/>
        <v>0</v>
      </c>
      <c r="S32" s="97">
        <f t="shared" si="22"/>
        <v>0</v>
      </c>
      <c r="T32" s="97">
        <f t="shared" si="22"/>
        <v>0</v>
      </c>
      <c r="U32" s="97">
        <f t="shared" si="22"/>
        <v>0</v>
      </c>
      <c r="V32" s="97">
        <f t="shared" si="22"/>
        <v>0</v>
      </c>
      <c r="W32" s="97">
        <f t="shared" si="22"/>
        <v>0</v>
      </c>
      <c r="X32" s="97">
        <f t="shared" si="22"/>
        <v>0</v>
      </c>
      <c r="Y32" s="97">
        <f t="shared" si="22"/>
        <v>0</v>
      </c>
      <c r="Z32" s="97">
        <f t="shared" si="22"/>
        <v>0</v>
      </c>
      <c r="AA32" s="97">
        <f t="shared" si="22"/>
        <v>0</v>
      </c>
      <c r="AB32" s="97">
        <f t="shared" si="22"/>
        <v>0</v>
      </c>
      <c r="AC32" s="97">
        <f t="shared" si="22"/>
        <v>0</v>
      </c>
      <c r="AD32" s="97">
        <f t="shared" si="22"/>
        <v>0</v>
      </c>
      <c r="AE32" s="97">
        <f t="shared" si="22"/>
        <v>0</v>
      </c>
      <c r="AF32" s="97">
        <f t="shared" si="22"/>
        <v>1000000</v>
      </c>
      <c r="AG32" s="97">
        <f t="shared" si="22"/>
        <v>2000000</v>
      </c>
      <c r="AH32" s="97">
        <f t="shared" si="22"/>
        <v>2150000</v>
      </c>
      <c r="AI32" s="97">
        <f t="shared" si="22"/>
        <v>2000000</v>
      </c>
      <c r="AJ32" s="97">
        <f t="shared" si="22"/>
        <v>750000</v>
      </c>
      <c r="AK32" s="97">
        <f t="shared" si="22"/>
        <v>750000</v>
      </c>
      <c r="AL32" s="97">
        <f t="shared" si="22"/>
        <v>750000</v>
      </c>
      <c r="AM32" s="97">
        <f t="shared" si="22"/>
        <v>500000</v>
      </c>
      <c r="AN32" s="88">
        <f t="shared" si="25"/>
        <v>9500000</v>
      </c>
    </row>
    <row r="33" spans="1:40" s="102" customFormat="1" x14ac:dyDescent="0.25">
      <c r="A33" s="102" t="s">
        <v>116</v>
      </c>
      <c r="C33" s="103">
        <f>SUM(C23:C32)</f>
        <v>1058760000</v>
      </c>
      <c r="D33" s="103">
        <f t="shared" ref="D33:E33" si="26">SUM(D23:D32)</f>
        <v>1164636000</v>
      </c>
      <c r="E33" s="103">
        <f t="shared" si="26"/>
        <v>815245200</v>
      </c>
      <c r="F33" s="104">
        <f>SUM(F22:F32)</f>
        <v>270.870789</v>
      </c>
      <c r="G33" s="103">
        <f>SUM(G22:G32)</f>
        <v>2100000</v>
      </c>
      <c r="H33" s="103">
        <f t="shared" ref="H33:AM33" si="27">SUM(H22:H32)</f>
        <v>2225000</v>
      </c>
      <c r="I33" s="103">
        <f t="shared" si="27"/>
        <v>6000000</v>
      </c>
      <c r="J33" s="103">
        <f t="shared" si="27"/>
        <v>8500000</v>
      </c>
      <c r="K33" s="103">
        <f t="shared" si="27"/>
        <v>9750000</v>
      </c>
      <c r="L33" s="103">
        <f t="shared" si="27"/>
        <v>6000000</v>
      </c>
      <c r="M33" s="103">
        <f t="shared" si="27"/>
        <v>6000000</v>
      </c>
      <c r="N33" s="103">
        <f t="shared" si="27"/>
        <v>6000000</v>
      </c>
      <c r="O33" s="103">
        <f t="shared" si="27"/>
        <v>6500000</v>
      </c>
      <c r="P33" s="103">
        <f t="shared" si="27"/>
        <v>4500000</v>
      </c>
      <c r="Q33" s="103">
        <f t="shared" si="27"/>
        <v>4500000</v>
      </c>
      <c r="R33" s="103">
        <f t="shared" si="27"/>
        <v>3500000</v>
      </c>
      <c r="S33" s="103">
        <f t="shared" si="27"/>
        <v>2750000</v>
      </c>
      <c r="T33" s="103">
        <f t="shared" si="27"/>
        <v>2000000</v>
      </c>
      <c r="U33" s="103">
        <f t="shared" si="27"/>
        <v>2250000</v>
      </c>
      <c r="V33" s="103">
        <f t="shared" si="27"/>
        <v>3400000</v>
      </c>
      <c r="W33" s="103">
        <f t="shared" si="27"/>
        <v>4000000</v>
      </c>
      <c r="X33" s="103">
        <f t="shared" si="27"/>
        <v>4625000</v>
      </c>
      <c r="Y33" s="103">
        <f t="shared" si="27"/>
        <v>4625000</v>
      </c>
      <c r="Z33" s="103">
        <f t="shared" si="27"/>
        <v>7500000</v>
      </c>
      <c r="AA33" s="103">
        <f t="shared" si="27"/>
        <v>5300000</v>
      </c>
      <c r="AB33" s="103">
        <f t="shared" si="27"/>
        <v>4125000</v>
      </c>
      <c r="AC33" s="103">
        <f t="shared" si="27"/>
        <v>3625000</v>
      </c>
      <c r="AD33" s="103">
        <f t="shared" si="27"/>
        <v>4500000</v>
      </c>
      <c r="AE33" s="103">
        <f t="shared" si="27"/>
        <v>3650000</v>
      </c>
      <c r="AF33" s="103">
        <f t="shared" si="27"/>
        <v>4750000</v>
      </c>
      <c r="AG33" s="103">
        <f t="shared" si="27"/>
        <v>5650000</v>
      </c>
      <c r="AH33" s="103">
        <f t="shared" si="27"/>
        <v>3400000</v>
      </c>
      <c r="AI33" s="103">
        <f t="shared" si="27"/>
        <v>3250000</v>
      </c>
      <c r="AJ33" s="103">
        <f t="shared" si="27"/>
        <v>2000000</v>
      </c>
      <c r="AK33" s="103">
        <f t="shared" si="27"/>
        <v>1500000</v>
      </c>
      <c r="AL33" s="103">
        <f t="shared" si="27"/>
        <v>1000000</v>
      </c>
      <c r="AM33" s="103">
        <f t="shared" si="27"/>
        <v>500000</v>
      </c>
      <c r="AN33" s="105">
        <f>SUM(G33:AL33)</f>
        <v>139475000</v>
      </c>
    </row>
    <row r="34" spans="1:40" s="80" customFormat="1" x14ac:dyDescent="0.25">
      <c r="C34" s="81"/>
      <c r="D34" s="81"/>
      <c r="E34" s="81"/>
      <c r="F34" s="93"/>
    </row>
    <row r="35" spans="1:40" s="106" customFormat="1" x14ac:dyDescent="0.25">
      <c r="A35" s="106" t="s">
        <v>143</v>
      </c>
      <c r="C35" s="107"/>
      <c r="F35" s="108"/>
      <c r="G35" s="107">
        <f>'Staffing Phase-in'!D19</f>
        <v>666500</v>
      </c>
      <c r="H35" s="107">
        <f>'Staffing Phase-in'!E19</f>
        <v>775000</v>
      </c>
      <c r="I35" s="107">
        <f>'Staffing Phase-in'!F19</f>
        <v>1472500</v>
      </c>
      <c r="J35" s="107">
        <f>'Staffing Phase-in'!G19</f>
        <v>1829000</v>
      </c>
      <c r="K35" s="107">
        <f>'Staffing Phase-in'!H19</f>
        <v>2015000</v>
      </c>
      <c r="L35" s="107">
        <f>'Staffing Phase-in'!I19</f>
        <v>2139000</v>
      </c>
      <c r="M35" s="107">
        <f>ROUND(M16*'Staffing Phase-in'!$I$17*1.24,-3)</f>
        <v>2261000</v>
      </c>
      <c r="N35" s="107">
        <f>ROUND(N16*'Staffing Phase-in'!$I$17*1.24,-3)</f>
        <v>2261000</v>
      </c>
      <c r="O35" s="107">
        <f>ROUND(O16*'Staffing Phase-in'!$I$17*1.24,-3)</f>
        <v>2261000</v>
      </c>
      <c r="P35" s="107">
        <f>ROUND(P16*'Staffing Phase-in'!$I$17*1.24,-3)</f>
        <v>2261000</v>
      </c>
      <c r="Q35" s="107">
        <f>ROUND(Q16*'Staffing Phase-in'!$I$17*1.24,-3)</f>
        <v>2261000</v>
      </c>
      <c r="R35" s="107">
        <f>ROUND(R16*'Staffing Phase-in'!$I$17*1.24,-3)</f>
        <v>2261000</v>
      </c>
      <c r="S35" s="107">
        <f>ROUND(S16*'Staffing Phase-in'!$I$17*1.24,-3)</f>
        <v>2261000</v>
      </c>
      <c r="T35" s="107">
        <f>ROUND(T16*'Staffing Phase-in'!$I$17*1.24,-3)</f>
        <v>2261000</v>
      </c>
      <c r="U35" s="107">
        <f>ROUND(U16*'Staffing Phase-in'!$I$17*1.24,-3)</f>
        <v>2261000</v>
      </c>
      <c r="V35" s="107">
        <f>ROUND(V16*'Staffing Phase-in'!$I$17*1.24,-3)</f>
        <v>2261000</v>
      </c>
      <c r="W35" s="107">
        <f>ROUND(W16*'Staffing Phase-in'!$I$17*1.24,-3)</f>
        <v>2261000</v>
      </c>
      <c r="X35" s="107">
        <f>ROUND(X16*'Staffing Phase-in'!$I$17*1.24,-3)</f>
        <v>2261000</v>
      </c>
      <c r="Y35" s="107">
        <f>ROUND(Y16*'Staffing Phase-in'!$I$17*1.24,-3)</f>
        <v>2261000</v>
      </c>
      <c r="Z35" s="107">
        <f>ROUND(Z16*'Staffing Phase-in'!$I$17*1.24,-3)</f>
        <v>2261000</v>
      </c>
      <c r="AA35" s="107">
        <f>ROUND(AA16*'Staffing Phase-in'!$I$17*1.24,-3)</f>
        <v>2261000</v>
      </c>
      <c r="AB35" s="107">
        <f>ROUND(AB16*'Staffing Phase-in'!$I$17*1.24,-3)</f>
        <v>2261000</v>
      </c>
      <c r="AC35" s="107">
        <f>ROUND(AC16*'Staffing Phase-in'!$I$17*1.24,-3)</f>
        <v>2261000</v>
      </c>
      <c r="AD35" s="107">
        <f>ROUND(AD16*'Staffing Phase-in'!$I$17*1.24,-3)</f>
        <v>2261000</v>
      </c>
      <c r="AE35" s="107">
        <f>ROUND(AE16*'Staffing Phase-in'!$I$17*1.24,-3)</f>
        <v>1956000</v>
      </c>
      <c r="AF35" s="107">
        <f>ROUND(AF16*'Staffing Phase-in'!$I$17*1.24,-3)</f>
        <v>1956000</v>
      </c>
      <c r="AG35" s="107">
        <f>ROUND(AG16*'Staffing Phase-in'!$I$17*1.24,-3)</f>
        <v>1956000</v>
      </c>
      <c r="AH35" s="107">
        <f>ROUND(AH16*'Staffing Phase-in'!$I$17*1.24,-3)</f>
        <v>1711000</v>
      </c>
      <c r="AI35" s="107">
        <f>ROUND(AI16*'Staffing Phase-in'!$I$17*1.24,-3)</f>
        <v>1711000</v>
      </c>
      <c r="AJ35" s="107">
        <f>ROUND(AJ16*'Staffing Phase-in'!$I$17*1.24,-3)</f>
        <v>733000</v>
      </c>
      <c r="AK35" s="107">
        <f>ROUND(AK16*'Staffing Phase-in'!$I$17*1.24,-3)</f>
        <v>733000</v>
      </c>
      <c r="AL35" s="107">
        <f>ROUND(AL16*'Staffing Phase-in'!$I$17*1.24,-3)</f>
        <v>733000</v>
      </c>
      <c r="AM35" s="107">
        <f>ROUND(AM16*'Staffing Phase-in'!$I$17*1.24,-3)</f>
        <v>489000</v>
      </c>
      <c r="AN35" s="109">
        <f>SUM(G35:AL35)</f>
        <v>61084000</v>
      </c>
    </row>
    <row r="36" spans="1:40" s="80" customFormat="1" x14ac:dyDescent="0.25">
      <c r="C36" s="81"/>
      <c r="D36" s="81"/>
      <c r="E36" s="81"/>
      <c r="F36" s="93"/>
    </row>
    <row r="37" spans="1:40" x14ac:dyDescent="0.25">
      <c r="A37" s="74" t="s">
        <v>144</v>
      </c>
      <c r="G37" s="77">
        <f t="shared" ref="G37:AM37" si="28">G35+G33</f>
        <v>2766500</v>
      </c>
      <c r="H37" s="77">
        <f t="shared" si="28"/>
        <v>3000000</v>
      </c>
      <c r="I37" s="77">
        <f t="shared" si="28"/>
        <v>7472500</v>
      </c>
      <c r="J37" s="77">
        <f t="shared" si="28"/>
        <v>10329000</v>
      </c>
      <c r="K37" s="77">
        <f t="shared" si="28"/>
        <v>11765000</v>
      </c>
      <c r="L37" s="77">
        <f t="shared" si="28"/>
        <v>8139000</v>
      </c>
      <c r="M37" s="77">
        <f t="shared" si="28"/>
        <v>8261000</v>
      </c>
      <c r="N37" s="77">
        <f t="shared" si="28"/>
        <v>8261000</v>
      </c>
      <c r="O37" s="77">
        <f t="shared" si="28"/>
        <v>8761000</v>
      </c>
      <c r="P37" s="77">
        <f t="shared" si="28"/>
        <v>6761000</v>
      </c>
      <c r="Q37" s="77">
        <f t="shared" si="28"/>
        <v>6761000</v>
      </c>
      <c r="R37" s="77">
        <f t="shared" si="28"/>
        <v>5761000</v>
      </c>
      <c r="S37" s="77">
        <f t="shared" si="28"/>
        <v>5011000</v>
      </c>
      <c r="T37" s="77">
        <f t="shared" si="28"/>
        <v>4261000</v>
      </c>
      <c r="U37" s="77">
        <f t="shared" si="28"/>
        <v>4511000</v>
      </c>
      <c r="V37" s="77">
        <f t="shared" si="28"/>
        <v>5661000</v>
      </c>
      <c r="W37" s="77">
        <f t="shared" si="28"/>
        <v>6261000</v>
      </c>
      <c r="X37" s="77">
        <f t="shared" si="28"/>
        <v>6886000</v>
      </c>
      <c r="Y37" s="77">
        <f t="shared" si="28"/>
        <v>6886000</v>
      </c>
      <c r="Z37" s="77">
        <f t="shared" si="28"/>
        <v>9761000</v>
      </c>
      <c r="AA37" s="77">
        <f t="shared" si="28"/>
        <v>7561000</v>
      </c>
      <c r="AB37" s="77">
        <f t="shared" si="28"/>
        <v>6386000</v>
      </c>
      <c r="AC37" s="77">
        <f t="shared" si="28"/>
        <v>5886000</v>
      </c>
      <c r="AD37" s="77">
        <f t="shared" si="28"/>
        <v>6761000</v>
      </c>
      <c r="AE37" s="77">
        <f t="shared" si="28"/>
        <v>5606000</v>
      </c>
      <c r="AF37" s="77">
        <f t="shared" si="28"/>
        <v>6706000</v>
      </c>
      <c r="AG37" s="77">
        <f t="shared" si="28"/>
        <v>7606000</v>
      </c>
      <c r="AH37" s="77">
        <f t="shared" si="28"/>
        <v>5111000</v>
      </c>
      <c r="AI37" s="77">
        <f t="shared" si="28"/>
        <v>4961000</v>
      </c>
      <c r="AJ37" s="77">
        <f t="shared" si="28"/>
        <v>2733000</v>
      </c>
      <c r="AK37" s="77">
        <f t="shared" si="28"/>
        <v>2233000</v>
      </c>
      <c r="AL37" s="77">
        <f t="shared" si="28"/>
        <v>1733000</v>
      </c>
      <c r="AM37" s="77">
        <f t="shared" si="28"/>
        <v>989000</v>
      </c>
      <c r="AN37" s="88">
        <f>SUM(G37:AL37)</f>
        <v>200559000</v>
      </c>
    </row>
    <row r="38" spans="1:40" x14ac:dyDescent="0.25">
      <c r="A38" s="74" t="s">
        <v>145</v>
      </c>
      <c r="G38" s="85">
        <f>G37*0.1</f>
        <v>276650</v>
      </c>
      <c r="H38" s="85">
        <f t="shared" ref="H38:AM38" si="29">H37*0.1</f>
        <v>300000</v>
      </c>
      <c r="I38" s="85">
        <f t="shared" si="29"/>
        <v>747250</v>
      </c>
      <c r="J38" s="85">
        <f t="shared" si="29"/>
        <v>1032900</v>
      </c>
      <c r="K38" s="85">
        <f t="shared" si="29"/>
        <v>1176500</v>
      </c>
      <c r="L38" s="85">
        <f t="shared" si="29"/>
        <v>813900</v>
      </c>
      <c r="M38" s="85">
        <f t="shared" si="29"/>
        <v>826100</v>
      </c>
      <c r="N38" s="85">
        <f t="shared" si="29"/>
        <v>826100</v>
      </c>
      <c r="O38" s="85">
        <f t="shared" si="29"/>
        <v>876100</v>
      </c>
      <c r="P38" s="85">
        <f t="shared" si="29"/>
        <v>676100</v>
      </c>
      <c r="Q38" s="85">
        <f t="shared" si="29"/>
        <v>676100</v>
      </c>
      <c r="R38" s="85">
        <f t="shared" si="29"/>
        <v>576100</v>
      </c>
      <c r="S38" s="85">
        <f t="shared" si="29"/>
        <v>501100</v>
      </c>
      <c r="T38" s="85">
        <f t="shared" si="29"/>
        <v>426100</v>
      </c>
      <c r="U38" s="85">
        <f t="shared" si="29"/>
        <v>451100</v>
      </c>
      <c r="V38" s="85">
        <f t="shared" si="29"/>
        <v>566100</v>
      </c>
      <c r="W38" s="85">
        <f t="shared" si="29"/>
        <v>626100</v>
      </c>
      <c r="X38" s="85">
        <f t="shared" si="29"/>
        <v>688600</v>
      </c>
      <c r="Y38" s="85">
        <f t="shared" si="29"/>
        <v>688600</v>
      </c>
      <c r="Z38" s="85">
        <f t="shared" si="29"/>
        <v>976100</v>
      </c>
      <c r="AA38" s="85">
        <f t="shared" si="29"/>
        <v>756100</v>
      </c>
      <c r="AB38" s="85">
        <f t="shared" si="29"/>
        <v>638600</v>
      </c>
      <c r="AC38" s="85">
        <f t="shared" si="29"/>
        <v>588600</v>
      </c>
      <c r="AD38" s="85">
        <f t="shared" si="29"/>
        <v>676100</v>
      </c>
      <c r="AE38" s="85">
        <f t="shared" si="29"/>
        <v>560600</v>
      </c>
      <c r="AF38" s="85">
        <f t="shared" si="29"/>
        <v>670600</v>
      </c>
      <c r="AG38" s="85">
        <f t="shared" si="29"/>
        <v>760600</v>
      </c>
      <c r="AH38" s="85">
        <f t="shared" si="29"/>
        <v>511100</v>
      </c>
      <c r="AI38" s="85">
        <f t="shared" si="29"/>
        <v>496100</v>
      </c>
      <c r="AJ38" s="85">
        <f t="shared" si="29"/>
        <v>273300</v>
      </c>
      <c r="AK38" s="85">
        <f t="shared" si="29"/>
        <v>223300</v>
      </c>
      <c r="AL38" s="85">
        <f t="shared" si="29"/>
        <v>173300</v>
      </c>
      <c r="AM38" s="85">
        <f t="shared" si="29"/>
        <v>98900</v>
      </c>
      <c r="AN38" s="88">
        <f>SUM(G38:AL38)</f>
        <v>20055900</v>
      </c>
    </row>
    <row r="39" spans="1:40" s="86" customFormat="1" x14ac:dyDescent="0.25">
      <c r="A39" s="86" t="s">
        <v>146</v>
      </c>
      <c r="C39" s="87"/>
      <c r="G39" s="88">
        <f t="shared" ref="G39:AM39" si="30">SUM(G37:G38)</f>
        <v>3043150</v>
      </c>
      <c r="H39" s="88">
        <f t="shared" si="30"/>
        <v>3300000</v>
      </c>
      <c r="I39" s="88">
        <f t="shared" si="30"/>
        <v>8219750</v>
      </c>
      <c r="J39" s="88">
        <f t="shared" si="30"/>
        <v>11361900</v>
      </c>
      <c r="K39" s="88">
        <f t="shared" si="30"/>
        <v>12941500</v>
      </c>
      <c r="L39" s="88">
        <f t="shared" si="30"/>
        <v>8952900</v>
      </c>
      <c r="M39" s="88">
        <f t="shared" si="30"/>
        <v>9087100</v>
      </c>
      <c r="N39" s="88">
        <f t="shared" si="30"/>
        <v>9087100</v>
      </c>
      <c r="O39" s="88">
        <f t="shared" si="30"/>
        <v>9637100</v>
      </c>
      <c r="P39" s="88">
        <f t="shared" si="30"/>
        <v>7437100</v>
      </c>
      <c r="Q39" s="88">
        <f t="shared" si="30"/>
        <v>7437100</v>
      </c>
      <c r="R39" s="88">
        <f t="shared" si="30"/>
        <v>6337100</v>
      </c>
      <c r="S39" s="88">
        <f t="shared" si="30"/>
        <v>5512100</v>
      </c>
      <c r="T39" s="88">
        <f t="shared" si="30"/>
        <v>4687100</v>
      </c>
      <c r="U39" s="88">
        <f t="shared" si="30"/>
        <v>4962100</v>
      </c>
      <c r="V39" s="88">
        <f t="shared" si="30"/>
        <v>6227100</v>
      </c>
      <c r="W39" s="88">
        <f t="shared" si="30"/>
        <v>6887100</v>
      </c>
      <c r="X39" s="88">
        <f t="shared" si="30"/>
        <v>7574600</v>
      </c>
      <c r="Y39" s="88">
        <f t="shared" si="30"/>
        <v>7574600</v>
      </c>
      <c r="Z39" s="88">
        <f t="shared" si="30"/>
        <v>10737100</v>
      </c>
      <c r="AA39" s="88">
        <f t="shared" si="30"/>
        <v>8317100</v>
      </c>
      <c r="AB39" s="88">
        <f t="shared" si="30"/>
        <v>7024600</v>
      </c>
      <c r="AC39" s="88">
        <f t="shared" si="30"/>
        <v>6474600</v>
      </c>
      <c r="AD39" s="88">
        <f t="shared" si="30"/>
        <v>7437100</v>
      </c>
      <c r="AE39" s="88">
        <f t="shared" si="30"/>
        <v>6166600</v>
      </c>
      <c r="AF39" s="88">
        <f t="shared" si="30"/>
        <v>7376600</v>
      </c>
      <c r="AG39" s="88">
        <f t="shared" si="30"/>
        <v>8366600</v>
      </c>
      <c r="AH39" s="88">
        <f t="shared" si="30"/>
        <v>5622100</v>
      </c>
      <c r="AI39" s="88">
        <f t="shared" si="30"/>
        <v>5457100</v>
      </c>
      <c r="AJ39" s="88">
        <f t="shared" si="30"/>
        <v>3006300</v>
      </c>
      <c r="AK39" s="88">
        <f t="shared" si="30"/>
        <v>2456300</v>
      </c>
      <c r="AL39" s="88">
        <f t="shared" si="30"/>
        <v>1906300</v>
      </c>
      <c r="AM39" s="88">
        <f t="shared" si="30"/>
        <v>1087900</v>
      </c>
      <c r="AN39" s="88">
        <f>SUM(G39:AL39)</f>
        <v>220614900</v>
      </c>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2F69-BEB2-4299-B3CA-E3B94DE9C318}">
  <dimension ref="A1:AI59"/>
  <sheetViews>
    <sheetView workbookViewId="0"/>
  </sheetViews>
  <sheetFormatPr defaultColWidth="8.85546875" defaultRowHeight="15" x14ac:dyDescent="0.25"/>
  <cols>
    <col min="1" max="1" width="36" style="74" customWidth="1"/>
    <col min="2" max="2" width="15.140625" style="74" bestFit="1" customWidth="1"/>
    <col min="3" max="5" width="14.28515625" style="74" bestFit="1" customWidth="1"/>
    <col min="6" max="6" width="15.28515625" style="74" bestFit="1" customWidth="1"/>
    <col min="7" max="19" width="15.42578125" style="74" bestFit="1" customWidth="1"/>
    <col min="20" max="20" width="16.42578125" style="74" bestFit="1" customWidth="1"/>
    <col min="21" max="21" width="12.7109375" style="74" bestFit="1" customWidth="1"/>
    <col min="22" max="22" width="16.28515625" style="74" bestFit="1" customWidth="1"/>
    <col min="23" max="23" width="14" style="74" bestFit="1" customWidth="1"/>
    <col min="24" max="33" width="12.7109375" style="74" bestFit="1" customWidth="1"/>
    <col min="34" max="34" width="11.7109375" style="74" bestFit="1" customWidth="1"/>
    <col min="35" max="35" width="15.5703125" style="86" bestFit="1" customWidth="1"/>
    <col min="36" max="16384" width="8.85546875" style="74"/>
  </cols>
  <sheetData>
    <row r="1" spans="1:35" x14ac:dyDescent="0.25">
      <c r="A1" s="2" t="s">
        <v>147</v>
      </c>
      <c r="B1" s="2">
        <v>2025</v>
      </c>
      <c r="C1" s="2">
        <f>B1+1</f>
        <v>2026</v>
      </c>
      <c r="D1" s="2">
        <f t="shared" ref="D1:T1" si="0">C1+1</f>
        <v>2027</v>
      </c>
      <c r="E1" s="2">
        <f t="shared" si="0"/>
        <v>2028</v>
      </c>
      <c r="F1" s="2">
        <f t="shared" si="0"/>
        <v>2029</v>
      </c>
      <c r="G1" s="2">
        <f t="shared" si="0"/>
        <v>2030</v>
      </c>
      <c r="H1" s="2">
        <f t="shared" si="0"/>
        <v>2031</v>
      </c>
      <c r="I1" s="2">
        <f t="shared" si="0"/>
        <v>2032</v>
      </c>
      <c r="J1" s="2">
        <f t="shared" si="0"/>
        <v>2033</v>
      </c>
      <c r="K1" s="2">
        <f t="shared" si="0"/>
        <v>2034</v>
      </c>
      <c r="L1" s="2">
        <f t="shared" si="0"/>
        <v>2035</v>
      </c>
      <c r="M1" s="2">
        <f t="shared" si="0"/>
        <v>2036</v>
      </c>
      <c r="N1" s="2">
        <f t="shared" si="0"/>
        <v>2037</v>
      </c>
      <c r="O1" s="2">
        <f t="shared" si="0"/>
        <v>2038</v>
      </c>
      <c r="P1" s="2">
        <f t="shared" si="0"/>
        <v>2039</v>
      </c>
      <c r="Q1" s="2">
        <f t="shared" si="0"/>
        <v>2040</v>
      </c>
      <c r="R1" s="2">
        <f t="shared" si="0"/>
        <v>2041</v>
      </c>
      <c r="S1" s="2">
        <f>R1+1</f>
        <v>2042</v>
      </c>
      <c r="T1" s="2">
        <f t="shared" si="0"/>
        <v>2043</v>
      </c>
      <c r="U1" s="2">
        <f>T1+1</f>
        <v>2044</v>
      </c>
      <c r="V1" s="2">
        <v>2045</v>
      </c>
      <c r="W1" s="2">
        <f>V1+1</f>
        <v>2046</v>
      </c>
      <c r="X1" s="2">
        <f t="shared" ref="X1:AH1" si="1">W1+1</f>
        <v>2047</v>
      </c>
      <c r="Y1" s="2">
        <f t="shared" si="1"/>
        <v>2048</v>
      </c>
      <c r="Z1" s="2">
        <f t="shared" si="1"/>
        <v>2049</v>
      </c>
      <c r="AA1" s="2">
        <f t="shared" si="1"/>
        <v>2050</v>
      </c>
      <c r="AB1" s="2">
        <f t="shared" si="1"/>
        <v>2051</v>
      </c>
      <c r="AC1" s="2">
        <f t="shared" si="1"/>
        <v>2052</v>
      </c>
      <c r="AD1" s="2">
        <f t="shared" si="1"/>
        <v>2053</v>
      </c>
      <c r="AE1" s="2">
        <f t="shared" si="1"/>
        <v>2054</v>
      </c>
      <c r="AF1" s="2">
        <f t="shared" si="1"/>
        <v>2055</v>
      </c>
      <c r="AG1" s="2">
        <f t="shared" si="1"/>
        <v>2056</v>
      </c>
      <c r="AH1" s="2">
        <f t="shared" si="1"/>
        <v>2057</v>
      </c>
      <c r="AI1" s="2" t="s">
        <v>142</v>
      </c>
    </row>
    <row r="2" spans="1:35" x14ac:dyDescent="0.25">
      <c r="A2" s="74" t="s">
        <v>148</v>
      </c>
      <c r="B2" s="76">
        <f>'Soft Cost'!G37</f>
        <v>2766500</v>
      </c>
      <c r="C2" s="76">
        <f>'Soft Cost'!H37</f>
        <v>3000000</v>
      </c>
      <c r="D2" s="76">
        <f>'Soft Cost'!I37</f>
        <v>7472500</v>
      </c>
      <c r="E2" s="76">
        <f>'Soft Cost'!J37</f>
        <v>10329000</v>
      </c>
      <c r="F2" s="76">
        <f>'Soft Cost'!K37</f>
        <v>11765000</v>
      </c>
      <c r="G2" s="76">
        <f>'Soft Cost'!L37</f>
        <v>8139000</v>
      </c>
      <c r="H2" s="76">
        <f>'Soft Cost'!M37</f>
        <v>8261000</v>
      </c>
      <c r="I2" s="76">
        <f>'Soft Cost'!N37</f>
        <v>8261000</v>
      </c>
      <c r="J2" s="76">
        <f>'Soft Cost'!O37</f>
        <v>8761000</v>
      </c>
      <c r="K2" s="76">
        <f>'Soft Cost'!P37</f>
        <v>6761000</v>
      </c>
      <c r="L2" s="76">
        <f>'Soft Cost'!Q37</f>
        <v>6761000</v>
      </c>
      <c r="M2" s="76">
        <f>'Soft Cost'!R37</f>
        <v>5761000</v>
      </c>
      <c r="N2" s="76">
        <f>'Soft Cost'!S37</f>
        <v>5011000</v>
      </c>
      <c r="O2" s="76">
        <f>'Soft Cost'!T37</f>
        <v>4261000</v>
      </c>
      <c r="P2" s="76">
        <f>'Soft Cost'!U37</f>
        <v>4511000</v>
      </c>
      <c r="Q2" s="76">
        <f>'Soft Cost'!V37</f>
        <v>5661000</v>
      </c>
      <c r="R2" s="76">
        <f>'Soft Cost'!W37</f>
        <v>6261000</v>
      </c>
      <c r="S2" s="76">
        <f>'Soft Cost'!X37</f>
        <v>6886000</v>
      </c>
      <c r="T2" s="76">
        <f>'Soft Cost'!Y37</f>
        <v>6886000</v>
      </c>
      <c r="U2" s="76">
        <f>'Soft Cost'!Z37</f>
        <v>9761000</v>
      </c>
      <c r="V2" s="76">
        <f>'Soft Cost'!AA37</f>
        <v>7561000</v>
      </c>
      <c r="W2" s="76">
        <f>'Soft Cost'!AB37</f>
        <v>6386000</v>
      </c>
      <c r="X2" s="76">
        <f>'Soft Cost'!AC37</f>
        <v>5886000</v>
      </c>
      <c r="Y2" s="76">
        <f>'Soft Cost'!AD37</f>
        <v>6761000</v>
      </c>
      <c r="Z2" s="76">
        <f>'Soft Cost'!AE37</f>
        <v>5606000</v>
      </c>
      <c r="AA2" s="76">
        <f>'Soft Cost'!AF37</f>
        <v>6706000</v>
      </c>
      <c r="AB2" s="76">
        <f>'Soft Cost'!AG37</f>
        <v>7606000</v>
      </c>
      <c r="AC2" s="76">
        <f>'Soft Cost'!AH37</f>
        <v>5111000</v>
      </c>
      <c r="AD2" s="76">
        <f>'Soft Cost'!AI37</f>
        <v>4961000</v>
      </c>
      <c r="AE2" s="76">
        <f>'Soft Cost'!AJ37</f>
        <v>2733000</v>
      </c>
      <c r="AF2" s="76">
        <f>'Soft Cost'!AK37</f>
        <v>2233000</v>
      </c>
      <c r="AG2" s="76">
        <f>'Soft Cost'!AL37</f>
        <v>1733000</v>
      </c>
      <c r="AH2" s="76">
        <f>'Soft Cost'!AM37</f>
        <v>989000</v>
      </c>
      <c r="AI2" s="87">
        <f>SUM(B2:AH2)</f>
        <v>201548000</v>
      </c>
    </row>
    <row r="3" spans="1:35" x14ac:dyDescent="0.25">
      <c r="A3" s="74" t="s">
        <v>149</v>
      </c>
      <c r="B3" s="76">
        <f>'Soft Cost'!G38</f>
        <v>276650</v>
      </c>
      <c r="C3" s="76">
        <f>'Soft Cost'!H38</f>
        <v>300000</v>
      </c>
      <c r="D3" s="76">
        <f>'Soft Cost'!I38</f>
        <v>747250</v>
      </c>
      <c r="E3" s="76">
        <f>'Soft Cost'!J38</f>
        <v>1032900</v>
      </c>
      <c r="F3" s="76">
        <f>'Soft Cost'!K38</f>
        <v>1176500</v>
      </c>
      <c r="G3" s="76">
        <f>'Soft Cost'!L38</f>
        <v>813900</v>
      </c>
      <c r="H3" s="76">
        <f>'Soft Cost'!M38</f>
        <v>826100</v>
      </c>
      <c r="I3" s="76">
        <f>'Soft Cost'!N38</f>
        <v>826100</v>
      </c>
      <c r="J3" s="76">
        <f>'Soft Cost'!O38</f>
        <v>876100</v>
      </c>
      <c r="K3" s="76">
        <f>'Soft Cost'!P38</f>
        <v>676100</v>
      </c>
      <c r="L3" s="76">
        <f>'Soft Cost'!Q38</f>
        <v>676100</v>
      </c>
      <c r="M3" s="76">
        <f>'Soft Cost'!R38</f>
        <v>576100</v>
      </c>
      <c r="N3" s="76">
        <f>'Soft Cost'!S38</f>
        <v>501100</v>
      </c>
      <c r="O3" s="76">
        <f>'Soft Cost'!T38</f>
        <v>426100</v>
      </c>
      <c r="P3" s="76">
        <f>'Soft Cost'!U38</f>
        <v>451100</v>
      </c>
      <c r="Q3" s="76">
        <f>'Soft Cost'!V38</f>
        <v>566100</v>
      </c>
      <c r="R3" s="76">
        <f>'Soft Cost'!W38</f>
        <v>626100</v>
      </c>
      <c r="S3" s="76">
        <f>'Soft Cost'!X38</f>
        <v>688600</v>
      </c>
      <c r="T3" s="76">
        <f>'Soft Cost'!Y38</f>
        <v>688600</v>
      </c>
      <c r="U3" s="76">
        <f>'Soft Cost'!Z38</f>
        <v>976100</v>
      </c>
      <c r="V3" s="76">
        <f>'Soft Cost'!AA38</f>
        <v>756100</v>
      </c>
      <c r="W3" s="76">
        <f>'Soft Cost'!AB38</f>
        <v>638600</v>
      </c>
      <c r="X3" s="76">
        <f>'Soft Cost'!AC38</f>
        <v>588600</v>
      </c>
      <c r="Y3" s="76">
        <f>'Soft Cost'!AD38</f>
        <v>676100</v>
      </c>
      <c r="Z3" s="76">
        <f>'Soft Cost'!AE38</f>
        <v>560600</v>
      </c>
      <c r="AA3" s="76">
        <f>'Soft Cost'!AF38</f>
        <v>670600</v>
      </c>
      <c r="AB3" s="76">
        <f>'Soft Cost'!AG38</f>
        <v>760600</v>
      </c>
      <c r="AC3" s="76">
        <f>'Soft Cost'!AH38</f>
        <v>511100</v>
      </c>
      <c r="AD3" s="76">
        <f>'Soft Cost'!AI38</f>
        <v>496100</v>
      </c>
      <c r="AE3" s="76">
        <f>'Soft Cost'!AJ38</f>
        <v>273300</v>
      </c>
      <c r="AF3" s="76">
        <f>'Soft Cost'!AK38</f>
        <v>223300</v>
      </c>
      <c r="AG3" s="76">
        <f>'Soft Cost'!AL38</f>
        <v>173300</v>
      </c>
      <c r="AH3" s="76">
        <f>'Soft Cost'!AM38</f>
        <v>98900</v>
      </c>
      <c r="AI3" s="87">
        <f>SUM(B3:AH3)</f>
        <v>20154800</v>
      </c>
    </row>
    <row r="4" spans="1:35" s="110" customFormat="1" ht="15.75" thickBot="1" x14ac:dyDescent="0.3">
      <c r="A4" s="63" t="s">
        <v>150</v>
      </c>
      <c r="B4" s="122">
        <f>SUM(B2:B3)</f>
        <v>3043150</v>
      </c>
      <c r="C4" s="122">
        <f t="shared" ref="C4:AH4" si="2">SUM(C2:C3)</f>
        <v>3300000</v>
      </c>
      <c r="D4" s="122">
        <f t="shared" si="2"/>
        <v>8219750</v>
      </c>
      <c r="E4" s="122">
        <f t="shared" si="2"/>
        <v>11361900</v>
      </c>
      <c r="F4" s="122">
        <f t="shared" si="2"/>
        <v>12941500</v>
      </c>
      <c r="G4" s="122">
        <f t="shared" si="2"/>
        <v>8952900</v>
      </c>
      <c r="H4" s="122">
        <f t="shared" si="2"/>
        <v>9087100</v>
      </c>
      <c r="I4" s="122">
        <f t="shared" si="2"/>
        <v>9087100</v>
      </c>
      <c r="J4" s="122">
        <f t="shared" si="2"/>
        <v>9637100</v>
      </c>
      <c r="K4" s="122">
        <f t="shared" si="2"/>
        <v>7437100</v>
      </c>
      <c r="L4" s="122">
        <f t="shared" si="2"/>
        <v>7437100</v>
      </c>
      <c r="M4" s="122">
        <f t="shared" si="2"/>
        <v>6337100</v>
      </c>
      <c r="N4" s="122">
        <f t="shared" si="2"/>
        <v>5512100</v>
      </c>
      <c r="O4" s="122">
        <f t="shared" si="2"/>
        <v>4687100</v>
      </c>
      <c r="P4" s="122">
        <f t="shared" si="2"/>
        <v>4962100</v>
      </c>
      <c r="Q4" s="122">
        <f t="shared" si="2"/>
        <v>6227100</v>
      </c>
      <c r="R4" s="122">
        <f t="shared" si="2"/>
        <v>6887100</v>
      </c>
      <c r="S4" s="122">
        <f t="shared" si="2"/>
        <v>7574600</v>
      </c>
      <c r="T4" s="122">
        <f t="shared" si="2"/>
        <v>7574600</v>
      </c>
      <c r="U4" s="122">
        <f t="shared" si="2"/>
        <v>10737100</v>
      </c>
      <c r="V4" s="122">
        <f t="shared" si="2"/>
        <v>8317100</v>
      </c>
      <c r="W4" s="122">
        <f t="shared" si="2"/>
        <v>7024600</v>
      </c>
      <c r="X4" s="122">
        <f t="shared" si="2"/>
        <v>6474600</v>
      </c>
      <c r="Y4" s="122">
        <f t="shared" si="2"/>
        <v>7437100</v>
      </c>
      <c r="Z4" s="122">
        <f t="shared" si="2"/>
        <v>6166600</v>
      </c>
      <c r="AA4" s="122">
        <f t="shared" si="2"/>
        <v>7376600</v>
      </c>
      <c r="AB4" s="122">
        <f t="shared" si="2"/>
        <v>8366600</v>
      </c>
      <c r="AC4" s="122">
        <f t="shared" si="2"/>
        <v>5622100</v>
      </c>
      <c r="AD4" s="122">
        <f t="shared" si="2"/>
        <v>5457100</v>
      </c>
      <c r="AE4" s="122">
        <f t="shared" si="2"/>
        <v>3006300</v>
      </c>
      <c r="AF4" s="122">
        <f t="shared" si="2"/>
        <v>2456300</v>
      </c>
      <c r="AG4" s="122">
        <f t="shared" si="2"/>
        <v>1906300</v>
      </c>
      <c r="AH4" s="122">
        <f t="shared" si="2"/>
        <v>1087900</v>
      </c>
      <c r="AI4" s="122">
        <f>SUM(AI2:AI3)</f>
        <v>221702800</v>
      </c>
    </row>
    <row r="5" spans="1:35" s="120" customFormat="1" ht="15.75" thickTop="1" x14ac:dyDescent="0.25">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row>
    <row r="6" spans="1:35" x14ac:dyDescent="0.25">
      <c r="A6" s="82" t="s">
        <v>151</v>
      </c>
      <c r="B6" s="76">
        <f>'Hard Cost'!G14</f>
        <v>0</v>
      </c>
      <c r="C6" s="76">
        <f>'Hard Cost'!H14</f>
        <v>0</v>
      </c>
      <c r="D6" s="76">
        <f>'Hard Cost'!I14</f>
        <v>0</v>
      </c>
      <c r="E6" s="76">
        <f>'Hard Cost'!J14</f>
        <v>0</v>
      </c>
      <c r="F6" s="76">
        <f>'Hard Cost'!K14</f>
        <v>0</v>
      </c>
      <c r="G6" s="76">
        <f>'Hard Cost'!L14</f>
        <v>24669175.78125</v>
      </c>
      <c r="H6" s="76">
        <f>'Hard Cost'!M14</f>
        <v>32892234.375</v>
      </c>
      <c r="I6" s="76">
        <f>'Hard Cost'!N14</f>
        <v>37003763.671875</v>
      </c>
      <c r="J6" s="76">
        <f>'Hard Cost'!O14</f>
        <v>37003763.671875</v>
      </c>
      <c r="K6" s="76">
        <f>'Hard Cost'!P14</f>
        <v>49918384.140625</v>
      </c>
      <c r="L6" s="76">
        <f>'Hard Cost'!Q14</f>
        <v>34052299.53125</v>
      </c>
      <c r="M6" s="76">
        <f>'Hard Cost'!R14</f>
        <v>34052299.53125</v>
      </c>
      <c r="N6" s="76">
        <f>'Hard Cost'!S14</f>
        <v>34052299.53125</v>
      </c>
      <c r="O6" s="76">
        <f>'Hard Cost'!T14</f>
        <v>17026149.765625</v>
      </c>
      <c r="P6" s="76">
        <f>'Hard Cost'!U14</f>
        <v>0</v>
      </c>
      <c r="Q6" s="76">
        <f>'Hard Cost'!V14</f>
        <v>0</v>
      </c>
      <c r="R6" s="76">
        <f>'Hard Cost'!W14</f>
        <v>0</v>
      </c>
      <c r="S6" s="76">
        <f>'Hard Cost'!X14</f>
        <v>11191805.625</v>
      </c>
      <c r="T6" s="76">
        <f>'Hard Cost'!Y14</f>
        <v>11191805.625</v>
      </c>
      <c r="U6" s="76">
        <f>'Hard Cost'!Z14</f>
        <v>21829933.125</v>
      </c>
      <c r="V6" s="76">
        <f>'Hard Cost'!AA14</f>
        <v>32660127.5</v>
      </c>
      <c r="W6" s="76">
        <f>'Hard Cost'!AB14</f>
        <v>32660127.5</v>
      </c>
      <c r="X6" s="76">
        <f>'Hard Cost'!AC14</f>
        <v>22022000</v>
      </c>
      <c r="Y6" s="76">
        <f>'Hard Cost'!AD14</f>
        <v>12445558.125</v>
      </c>
      <c r="Z6" s="76">
        <f>'Hard Cost'!AE14</f>
        <v>12445558.125</v>
      </c>
      <c r="AA6" s="76">
        <f>'Hard Cost'!AF14</f>
        <v>12445558.125</v>
      </c>
      <c r="AB6" s="76">
        <f>'Hard Cost'!AG14</f>
        <v>20612675.416666668</v>
      </c>
      <c r="AC6" s="76">
        <f>'Hard Cost'!AH14</f>
        <v>20612675.416666668</v>
      </c>
      <c r="AD6" s="76">
        <f>'Hard Cost'!AI14</f>
        <v>20612675.416666668</v>
      </c>
      <c r="AE6" s="76">
        <f>'Hard Cost'!AJ14</f>
        <v>14667986.666666666</v>
      </c>
      <c r="AF6" s="76">
        <f>'Hard Cost'!AK14</f>
        <v>14667986.666666666</v>
      </c>
      <c r="AG6" s="76">
        <f>'Hard Cost'!AL14</f>
        <v>14667986.666666666</v>
      </c>
      <c r="AH6" s="76">
        <f>'Hard Cost'!AM14</f>
        <v>0</v>
      </c>
      <c r="AI6" s="87">
        <f>SUM(B6:AH6)</f>
        <v>575404830</v>
      </c>
    </row>
    <row r="7" spans="1:35" x14ac:dyDescent="0.25">
      <c r="A7" s="74" t="s">
        <v>152</v>
      </c>
      <c r="B7" s="76">
        <f>'Hard Cost'!G15</f>
        <v>0</v>
      </c>
      <c r="C7" s="76">
        <f>'Hard Cost'!H15</f>
        <v>0</v>
      </c>
      <c r="D7" s="76">
        <f>'Hard Cost'!I15</f>
        <v>0</v>
      </c>
      <c r="E7" s="76">
        <f>'Hard Cost'!J15</f>
        <v>0</v>
      </c>
      <c r="F7" s="76">
        <f>'Hard Cost'!K15</f>
        <v>0</v>
      </c>
      <c r="G7" s="76">
        <f>'Hard Cost'!L15</f>
        <v>6167293.9453125</v>
      </c>
      <c r="H7" s="76">
        <f>'Hard Cost'!M15</f>
        <v>8223058.59375</v>
      </c>
      <c r="I7" s="76">
        <f>'Hard Cost'!N15</f>
        <v>9250940.91796875</v>
      </c>
      <c r="J7" s="76">
        <f>'Hard Cost'!O15</f>
        <v>9250940.91796875</v>
      </c>
      <c r="K7" s="76">
        <f>'Hard Cost'!P15</f>
        <v>12479596.03515625</v>
      </c>
      <c r="L7" s="76">
        <f>'Hard Cost'!Q15</f>
        <v>8513074.8828125</v>
      </c>
      <c r="M7" s="76">
        <f>'Hard Cost'!R15</f>
        <v>8513074.8828125</v>
      </c>
      <c r="N7" s="76">
        <f>'Hard Cost'!S15</f>
        <v>8513074.8828125</v>
      </c>
      <c r="O7" s="76">
        <f>'Hard Cost'!T15</f>
        <v>4256537.44140625</v>
      </c>
      <c r="P7" s="76">
        <f>'Hard Cost'!U15</f>
        <v>0</v>
      </c>
      <c r="Q7" s="76">
        <f>'Hard Cost'!V15</f>
        <v>0</v>
      </c>
      <c r="R7" s="76">
        <f>'Hard Cost'!W15</f>
        <v>0</v>
      </c>
      <c r="S7" s="76">
        <f>'Hard Cost'!X15</f>
        <v>2797951.40625</v>
      </c>
      <c r="T7" s="76">
        <f>'Hard Cost'!Y15</f>
        <v>2797951.40625</v>
      </c>
      <c r="U7" s="76">
        <f>'Hard Cost'!Z15</f>
        <v>5457483.28125</v>
      </c>
      <c r="V7" s="76">
        <f>'Hard Cost'!AA15</f>
        <v>8165031.875</v>
      </c>
      <c r="W7" s="76">
        <f>'Hard Cost'!AB15</f>
        <v>8165031.875</v>
      </c>
      <c r="X7" s="76">
        <f>'Hard Cost'!AC15</f>
        <v>5505500</v>
      </c>
      <c r="Y7" s="76">
        <f>'Hard Cost'!AD15</f>
        <v>3111389.53125</v>
      </c>
      <c r="Z7" s="76">
        <f>'Hard Cost'!AE15</f>
        <v>3111389.53125</v>
      </c>
      <c r="AA7" s="76">
        <f>'Hard Cost'!AF15</f>
        <v>3111389.53125</v>
      </c>
      <c r="AB7" s="76">
        <f>'Hard Cost'!AG15</f>
        <v>5153168.854166667</v>
      </c>
      <c r="AC7" s="76">
        <f>'Hard Cost'!AH15</f>
        <v>5153168.854166667</v>
      </c>
      <c r="AD7" s="76">
        <f>'Hard Cost'!AI15</f>
        <v>5153168.854166667</v>
      </c>
      <c r="AE7" s="76">
        <f>'Hard Cost'!AJ15</f>
        <v>3666996.6666666665</v>
      </c>
      <c r="AF7" s="76">
        <f>'Hard Cost'!AK15</f>
        <v>3666996.6666666665</v>
      </c>
      <c r="AG7" s="76">
        <f>'Hard Cost'!AL15</f>
        <v>3666996.6666666665</v>
      </c>
      <c r="AH7" s="76">
        <f>'Hard Cost'!AM15</f>
        <v>0</v>
      </c>
      <c r="AI7" s="87">
        <f>SUM(B7:AH7)</f>
        <v>143851207.5</v>
      </c>
    </row>
    <row r="8" spans="1:35" s="110" customFormat="1" ht="15.75" thickBot="1" x14ac:dyDescent="0.3">
      <c r="A8" s="63" t="s">
        <v>153</v>
      </c>
      <c r="B8" s="122">
        <v>0</v>
      </c>
      <c r="C8" s="122">
        <v>0</v>
      </c>
      <c r="D8" s="122">
        <v>0</v>
      </c>
      <c r="E8" s="122">
        <v>0</v>
      </c>
      <c r="F8" s="122">
        <v>0</v>
      </c>
      <c r="G8" s="122">
        <v>30836469.7265625</v>
      </c>
      <c r="H8" s="122">
        <v>41115292.96875</v>
      </c>
      <c r="I8" s="122">
        <v>46254704.58984375</v>
      </c>
      <c r="J8" s="122">
        <v>46254704.58984375</v>
      </c>
      <c r="K8" s="122">
        <v>56593548.73046875</v>
      </c>
      <c r="L8" s="122">
        <v>30956511.5234375</v>
      </c>
      <c r="M8" s="122">
        <v>30956511.5234375</v>
      </c>
      <c r="N8" s="122">
        <v>30956511.5234375</v>
      </c>
      <c r="O8" s="122">
        <v>15478255.76171875</v>
      </c>
      <c r="P8" s="122">
        <v>0</v>
      </c>
      <c r="Q8" s="122">
        <v>0</v>
      </c>
      <c r="R8" s="122">
        <v>0</v>
      </c>
      <c r="S8" s="122">
        <v>13989757.03125</v>
      </c>
      <c r="T8" s="122">
        <v>13989757.03125</v>
      </c>
      <c r="U8" s="122">
        <v>27287416.40625</v>
      </c>
      <c r="V8" s="122">
        <v>37347205.729166672</v>
      </c>
      <c r="W8" s="122">
        <v>37347205.729166672</v>
      </c>
      <c r="X8" s="122">
        <v>24049546.354166664</v>
      </c>
      <c r="Y8" s="122">
        <v>15556947.65625</v>
      </c>
      <c r="Z8" s="122">
        <v>15556947.65625</v>
      </c>
      <c r="AA8" s="122">
        <v>15556947.65625</v>
      </c>
      <c r="AB8" s="122">
        <v>25765844.270833336</v>
      </c>
      <c r="AC8" s="122">
        <v>25765844.270833336</v>
      </c>
      <c r="AD8" s="122">
        <v>25765844.270833336</v>
      </c>
      <c r="AE8" s="122">
        <v>18334983.333333332</v>
      </c>
      <c r="AF8" s="122">
        <v>18334983.333333332</v>
      </c>
      <c r="AG8" s="122">
        <v>18334983.333333332</v>
      </c>
      <c r="AH8" s="122">
        <v>0</v>
      </c>
      <c r="AI8" s="122">
        <f>SUM(AI6:AI7)</f>
        <v>719256037.5</v>
      </c>
    </row>
    <row r="9" spans="1:35" ht="15.75" thickTop="1" x14ac:dyDescent="0.25">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87"/>
    </row>
    <row r="10" spans="1:35" x14ac:dyDescent="0.25">
      <c r="A10" s="74" t="s">
        <v>154</v>
      </c>
      <c r="B10" s="76">
        <f>B8+B4</f>
        <v>3043150</v>
      </c>
      <c r="C10" s="76">
        <f t="shared" ref="C10:AH10" si="3">C8+C4</f>
        <v>3300000</v>
      </c>
      <c r="D10" s="76">
        <f t="shared" si="3"/>
        <v>8219750</v>
      </c>
      <c r="E10" s="76">
        <f t="shared" si="3"/>
        <v>11361900</v>
      </c>
      <c r="F10" s="76">
        <f t="shared" si="3"/>
        <v>12941500</v>
      </c>
      <c r="G10" s="76">
        <f>G8+G4</f>
        <v>39789369.7265625</v>
      </c>
      <c r="H10" s="76">
        <f t="shared" si="3"/>
        <v>50202392.96875</v>
      </c>
      <c r="I10" s="76">
        <f t="shared" si="3"/>
        <v>55341804.58984375</v>
      </c>
      <c r="J10" s="76">
        <f t="shared" si="3"/>
        <v>55891804.58984375</v>
      </c>
      <c r="K10" s="76">
        <f t="shared" si="3"/>
        <v>64030648.73046875</v>
      </c>
      <c r="L10" s="76">
        <f t="shared" si="3"/>
        <v>38393611.5234375</v>
      </c>
      <c r="M10" s="76">
        <f t="shared" si="3"/>
        <v>37293611.5234375</v>
      </c>
      <c r="N10" s="76">
        <f t="shared" si="3"/>
        <v>36468611.5234375</v>
      </c>
      <c r="O10" s="76">
        <f t="shared" si="3"/>
        <v>20165355.76171875</v>
      </c>
      <c r="P10" s="76">
        <f t="shared" si="3"/>
        <v>4962100</v>
      </c>
      <c r="Q10" s="76">
        <f t="shared" si="3"/>
        <v>6227100</v>
      </c>
      <c r="R10" s="76">
        <f t="shared" si="3"/>
        <v>6887100</v>
      </c>
      <c r="S10" s="76">
        <f t="shared" si="3"/>
        <v>21564357.03125</v>
      </c>
      <c r="T10" s="76">
        <f t="shared" si="3"/>
        <v>21564357.03125</v>
      </c>
      <c r="U10" s="76">
        <f t="shared" si="3"/>
        <v>38024516.40625</v>
      </c>
      <c r="V10" s="76">
        <f t="shared" si="3"/>
        <v>45664305.729166672</v>
      </c>
      <c r="W10" s="76">
        <f t="shared" si="3"/>
        <v>44371805.729166672</v>
      </c>
      <c r="X10" s="76">
        <f t="shared" si="3"/>
        <v>30524146.354166664</v>
      </c>
      <c r="Y10" s="76">
        <f t="shared" si="3"/>
        <v>22994047.65625</v>
      </c>
      <c r="Z10" s="76">
        <f t="shared" si="3"/>
        <v>21723547.65625</v>
      </c>
      <c r="AA10" s="76">
        <f t="shared" si="3"/>
        <v>22933547.65625</v>
      </c>
      <c r="AB10" s="76">
        <f t="shared" si="3"/>
        <v>34132444.270833336</v>
      </c>
      <c r="AC10" s="76">
        <f t="shared" si="3"/>
        <v>31387944.270833336</v>
      </c>
      <c r="AD10" s="76">
        <f t="shared" si="3"/>
        <v>31222944.270833336</v>
      </c>
      <c r="AE10" s="76">
        <f t="shared" si="3"/>
        <v>21341283.333333332</v>
      </c>
      <c r="AF10" s="76">
        <f t="shared" si="3"/>
        <v>20791283.333333332</v>
      </c>
      <c r="AG10" s="76">
        <f t="shared" si="3"/>
        <v>20241283.333333332</v>
      </c>
      <c r="AH10" s="76">
        <f t="shared" si="3"/>
        <v>1087900</v>
      </c>
      <c r="AI10" s="87">
        <f>AI8+AI4</f>
        <v>940958837.5</v>
      </c>
    </row>
    <row r="11" spans="1:35" s="111" customFormat="1" x14ac:dyDescent="0.25">
      <c r="A11" s="99" t="s">
        <v>155</v>
      </c>
      <c r="B11" s="100">
        <f>B10*0.3</f>
        <v>912945</v>
      </c>
      <c r="C11" s="100">
        <f t="shared" ref="C11:AH11" si="4">C10*0.3</f>
        <v>990000</v>
      </c>
      <c r="D11" s="100">
        <f t="shared" si="4"/>
        <v>2465925</v>
      </c>
      <c r="E11" s="100">
        <f t="shared" si="4"/>
        <v>3408570</v>
      </c>
      <c r="F11" s="100">
        <f t="shared" si="4"/>
        <v>3882450</v>
      </c>
      <c r="G11" s="100">
        <f t="shared" si="4"/>
        <v>11936810.91796875</v>
      </c>
      <c r="H11" s="100">
        <f t="shared" si="4"/>
        <v>15060717.890625</v>
      </c>
      <c r="I11" s="100">
        <f t="shared" si="4"/>
        <v>16602541.376953125</v>
      </c>
      <c r="J11" s="100">
        <f t="shared" si="4"/>
        <v>16767541.376953125</v>
      </c>
      <c r="K11" s="100">
        <f t="shared" si="4"/>
        <v>19209194.619140625</v>
      </c>
      <c r="L11" s="100">
        <f t="shared" si="4"/>
        <v>11518083.45703125</v>
      </c>
      <c r="M11" s="100">
        <f t="shared" si="4"/>
        <v>11188083.45703125</v>
      </c>
      <c r="N11" s="100">
        <f t="shared" si="4"/>
        <v>10940583.45703125</v>
      </c>
      <c r="O11" s="100">
        <f t="shared" si="4"/>
        <v>6049606.728515625</v>
      </c>
      <c r="P11" s="100">
        <f t="shared" si="4"/>
        <v>1488630</v>
      </c>
      <c r="Q11" s="100">
        <f t="shared" si="4"/>
        <v>1868130</v>
      </c>
      <c r="R11" s="100">
        <f t="shared" si="4"/>
        <v>2066130</v>
      </c>
      <c r="S11" s="100">
        <f t="shared" si="4"/>
        <v>6469307.109375</v>
      </c>
      <c r="T11" s="100">
        <f t="shared" si="4"/>
        <v>6469307.109375</v>
      </c>
      <c r="U11" s="100">
        <f t="shared" si="4"/>
        <v>11407354.921875</v>
      </c>
      <c r="V11" s="100">
        <f t="shared" si="4"/>
        <v>13699291.718750002</v>
      </c>
      <c r="W11" s="100">
        <f t="shared" si="4"/>
        <v>13311541.718750002</v>
      </c>
      <c r="X11" s="100">
        <f t="shared" si="4"/>
        <v>9157243.9062499981</v>
      </c>
      <c r="Y11" s="100">
        <f t="shared" si="4"/>
        <v>6898214.296875</v>
      </c>
      <c r="Z11" s="100">
        <f t="shared" si="4"/>
        <v>6517064.296875</v>
      </c>
      <c r="AA11" s="100">
        <f t="shared" si="4"/>
        <v>6880064.296875</v>
      </c>
      <c r="AB11" s="100">
        <f t="shared" si="4"/>
        <v>10239733.28125</v>
      </c>
      <c r="AC11" s="100">
        <f t="shared" si="4"/>
        <v>9416383.28125</v>
      </c>
      <c r="AD11" s="100">
        <f t="shared" si="4"/>
        <v>9366883.28125</v>
      </c>
      <c r="AE11" s="100">
        <f t="shared" si="4"/>
        <v>6402384.9999999991</v>
      </c>
      <c r="AF11" s="100">
        <f t="shared" si="4"/>
        <v>6237384.9999999991</v>
      </c>
      <c r="AG11" s="100">
        <f t="shared" si="4"/>
        <v>6072384.9999999991</v>
      </c>
      <c r="AH11" s="100">
        <f t="shared" si="4"/>
        <v>326370</v>
      </c>
      <c r="AI11" s="100">
        <f>SUM(B11:AH11)</f>
        <v>265226857.5</v>
      </c>
    </row>
    <row r="12" spans="1:35" s="112" customFormat="1" ht="15.75" thickBot="1" x14ac:dyDescent="0.3">
      <c r="A12" s="63" t="s">
        <v>156</v>
      </c>
      <c r="B12" s="122">
        <f>SUM(B10:B11)</f>
        <v>3956095</v>
      </c>
      <c r="C12" s="122">
        <f t="shared" ref="C12:AH12" si="5">SUM(C10:C11)</f>
        <v>4290000</v>
      </c>
      <c r="D12" s="122">
        <f t="shared" si="5"/>
        <v>10685675</v>
      </c>
      <c r="E12" s="122">
        <f t="shared" si="5"/>
        <v>14770470</v>
      </c>
      <c r="F12" s="122">
        <f t="shared" si="5"/>
        <v>16823950</v>
      </c>
      <c r="G12" s="122">
        <f t="shared" si="5"/>
        <v>51726180.64453125</v>
      </c>
      <c r="H12" s="122">
        <f t="shared" si="5"/>
        <v>65263110.859375</v>
      </c>
      <c r="I12" s="122">
        <f t="shared" si="5"/>
        <v>71944345.966796875</v>
      </c>
      <c r="J12" s="122">
        <f t="shared" si="5"/>
        <v>72659345.966796875</v>
      </c>
      <c r="K12" s="122">
        <f t="shared" si="5"/>
        <v>83239843.349609375</v>
      </c>
      <c r="L12" s="122">
        <f t="shared" si="5"/>
        <v>49911694.98046875</v>
      </c>
      <c r="M12" s="122">
        <f t="shared" si="5"/>
        <v>48481694.98046875</v>
      </c>
      <c r="N12" s="122">
        <f t="shared" si="5"/>
        <v>47409194.98046875</v>
      </c>
      <c r="O12" s="122">
        <f t="shared" si="5"/>
        <v>26214962.490234375</v>
      </c>
      <c r="P12" s="122">
        <f t="shared" si="5"/>
        <v>6450730</v>
      </c>
      <c r="Q12" s="122">
        <f t="shared" si="5"/>
        <v>8095230</v>
      </c>
      <c r="R12" s="122">
        <f t="shared" si="5"/>
        <v>8953230</v>
      </c>
      <c r="S12" s="122">
        <f t="shared" si="5"/>
        <v>28033664.140625</v>
      </c>
      <c r="T12" s="122">
        <f t="shared" si="5"/>
        <v>28033664.140625</v>
      </c>
      <c r="U12" s="122">
        <f t="shared" si="5"/>
        <v>49431871.328125</v>
      </c>
      <c r="V12" s="122">
        <f t="shared" si="5"/>
        <v>59363597.447916672</v>
      </c>
      <c r="W12" s="122">
        <f t="shared" si="5"/>
        <v>57683347.447916672</v>
      </c>
      <c r="X12" s="122">
        <f t="shared" si="5"/>
        <v>39681390.260416664</v>
      </c>
      <c r="Y12" s="122">
        <f t="shared" si="5"/>
        <v>29892261.953125</v>
      </c>
      <c r="Z12" s="122">
        <f t="shared" si="5"/>
        <v>28240611.953125</v>
      </c>
      <c r="AA12" s="122">
        <f t="shared" si="5"/>
        <v>29813611.953125</v>
      </c>
      <c r="AB12" s="122">
        <f t="shared" si="5"/>
        <v>44372177.552083336</v>
      </c>
      <c r="AC12" s="122">
        <f t="shared" si="5"/>
        <v>40804327.552083336</v>
      </c>
      <c r="AD12" s="122">
        <f t="shared" si="5"/>
        <v>40589827.552083336</v>
      </c>
      <c r="AE12" s="122">
        <f t="shared" si="5"/>
        <v>27743668.333333332</v>
      </c>
      <c r="AF12" s="122">
        <f t="shared" si="5"/>
        <v>27028668.333333332</v>
      </c>
      <c r="AG12" s="122">
        <f t="shared" si="5"/>
        <v>26313668.333333332</v>
      </c>
      <c r="AH12" s="122">
        <f t="shared" si="5"/>
        <v>1414270</v>
      </c>
      <c r="AI12" s="122">
        <f>SUM(AI10:AI11)</f>
        <v>1206185695</v>
      </c>
    </row>
    <row r="13" spans="1:35" ht="15.75" thickTop="1" x14ac:dyDescent="0.25">
      <c r="B13" s="76"/>
      <c r="C13" s="76"/>
      <c r="D13" s="76"/>
      <c r="E13" s="76"/>
      <c r="F13" s="76"/>
      <c r="G13" s="76"/>
      <c r="H13" s="76"/>
      <c r="I13" s="76"/>
      <c r="J13" s="76"/>
      <c r="K13" s="76"/>
      <c r="L13" s="76"/>
      <c r="M13" s="76"/>
      <c r="N13" s="76"/>
      <c r="O13" s="76"/>
      <c r="P13" s="76"/>
      <c r="Q13" s="76"/>
      <c r="R13" s="76"/>
      <c r="S13" s="76"/>
      <c r="T13" s="76"/>
      <c r="U13" s="76"/>
      <c r="V13" s="76"/>
      <c r="AI13" s="87"/>
    </row>
    <row r="14" spans="1:35" x14ac:dyDescent="0.25">
      <c r="A14" s="2" t="s">
        <v>157</v>
      </c>
      <c r="B14" s="123">
        <v>2025</v>
      </c>
      <c r="C14" s="123">
        <v>2026</v>
      </c>
      <c r="D14" s="123">
        <v>2027</v>
      </c>
      <c r="E14" s="123">
        <v>2028</v>
      </c>
      <c r="F14" s="123">
        <v>2029</v>
      </c>
      <c r="G14" s="123">
        <v>2030</v>
      </c>
      <c r="H14" s="123">
        <v>2031</v>
      </c>
      <c r="I14" s="123">
        <v>2032</v>
      </c>
      <c r="J14" s="123">
        <v>2033</v>
      </c>
      <c r="K14" s="123">
        <v>2034</v>
      </c>
      <c r="L14" s="123">
        <v>2035</v>
      </c>
      <c r="M14" s="123">
        <v>2036</v>
      </c>
      <c r="N14" s="123">
        <v>2037</v>
      </c>
      <c r="O14" s="123">
        <v>2038</v>
      </c>
      <c r="P14" s="123">
        <v>2039</v>
      </c>
      <c r="Q14" s="123">
        <v>2040</v>
      </c>
      <c r="R14" s="123">
        <v>2041</v>
      </c>
      <c r="S14" s="123">
        <v>2042</v>
      </c>
      <c r="T14" s="123">
        <v>2043</v>
      </c>
      <c r="U14" s="123">
        <v>2044</v>
      </c>
      <c r="V14" s="123">
        <v>2045</v>
      </c>
      <c r="W14" s="123">
        <v>2046</v>
      </c>
      <c r="X14" s="123">
        <v>2047</v>
      </c>
      <c r="Y14" s="123">
        <v>2048</v>
      </c>
      <c r="Z14" s="123">
        <v>2049</v>
      </c>
      <c r="AA14" s="123">
        <v>2050</v>
      </c>
      <c r="AB14" s="123">
        <v>2051</v>
      </c>
      <c r="AC14" s="123">
        <v>2052</v>
      </c>
      <c r="AD14" s="123">
        <v>2053</v>
      </c>
      <c r="AE14" s="123">
        <v>2054</v>
      </c>
      <c r="AF14" s="123">
        <v>2055</v>
      </c>
      <c r="AG14" s="123">
        <v>2056</v>
      </c>
      <c r="AH14" s="123">
        <v>2057</v>
      </c>
      <c r="AI14" s="124" t="s">
        <v>142</v>
      </c>
    </row>
    <row r="15" spans="1:35" x14ac:dyDescent="0.25">
      <c r="A15" s="114" t="s">
        <v>158</v>
      </c>
      <c r="B15" s="76"/>
      <c r="C15" s="76"/>
      <c r="D15" s="76"/>
      <c r="E15" s="76"/>
      <c r="F15" s="76"/>
      <c r="G15" s="76"/>
      <c r="H15" s="76"/>
      <c r="I15" s="76"/>
      <c r="J15" s="76"/>
      <c r="K15" s="76"/>
      <c r="L15" s="76"/>
      <c r="M15" s="76"/>
      <c r="N15" s="76"/>
      <c r="O15" s="76"/>
      <c r="P15" s="76"/>
      <c r="Q15" s="76"/>
      <c r="R15" s="76"/>
      <c r="S15" s="76"/>
      <c r="T15" s="76"/>
      <c r="U15" s="76"/>
      <c r="V15" s="76"/>
      <c r="AI15" s="87"/>
    </row>
    <row r="16" spans="1:35" x14ac:dyDescent="0.25">
      <c r="A16" s="115" t="s">
        <v>159</v>
      </c>
      <c r="B16" s="76"/>
      <c r="C16" s="76"/>
      <c r="D16" s="76"/>
      <c r="E16" s="76"/>
      <c r="F16" s="76"/>
      <c r="G16" s="76"/>
      <c r="H16" s="76"/>
      <c r="I16" s="76"/>
      <c r="J16" s="76"/>
      <c r="K16" s="76"/>
      <c r="L16" s="76"/>
      <c r="M16" s="76"/>
      <c r="N16" s="76"/>
      <c r="O16" s="76"/>
      <c r="P16" s="76"/>
      <c r="Q16" s="76"/>
      <c r="R16" s="76"/>
      <c r="S16" s="76"/>
      <c r="T16" s="76"/>
      <c r="U16" s="76"/>
      <c r="V16" s="76"/>
      <c r="AI16" s="87"/>
    </row>
    <row r="17" spans="1:35" x14ac:dyDescent="0.25">
      <c r="A17" s="116" t="s">
        <v>137</v>
      </c>
      <c r="B17" s="76">
        <f>'Soft Cost'!G22</f>
        <v>750000</v>
      </c>
      <c r="C17" s="76">
        <f>'Soft Cost'!H22*0.5</f>
        <v>437500</v>
      </c>
      <c r="D17" s="76"/>
      <c r="E17" s="76"/>
      <c r="F17" s="76"/>
      <c r="G17" s="76"/>
      <c r="H17" s="76"/>
      <c r="I17" s="76"/>
      <c r="J17" s="76"/>
      <c r="K17" s="76"/>
      <c r="L17" s="76"/>
      <c r="M17" s="76"/>
      <c r="N17" s="76"/>
      <c r="O17" s="76"/>
      <c r="P17" s="76"/>
      <c r="Q17" s="76"/>
      <c r="R17" s="76"/>
      <c r="S17" s="76"/>
      <c r="T17" s="76"/>
      <c r="U17" s="76"/>
      <c r="V17" s="76"/>
      <c r="AI17" s="87">
        <f>SUM(B17:AH17)</f>
        <v>1187500</v>
      </c>
    </row>
    <row r="18" spans="1:35" x14ac:dyDescent="0.25">
      <c r="A18" s="116" t="s">
        <v>138</v>
      </c>
      <c r="B18" s="76">
        <f>'Soft Cost'!G23</f>
        <v>750000</v>
      </c>
      <c r="C18" s="76">
        <f>'Soft Cost'!H23*0.5</f>
        <v>375000</v>
      </c>
      <c r="D18" s="76"/>
      <c r="E18" s="76"/>
      <c r="F18" s="76"/>
      <c r="G18" s="76"/>
      <c r="H18" s="76"/>
      <c r="I18" s="76"/>
      <c r="J18" s="76"/>
      <c r="K18" s="76"/>
      <c r="L18" s="76"/>
      <c r="M18" s="76"/>
      <c r="N18" s="76"/>
      <c r="O18" s="76"/>
      <c r="P18" s="76"/>
      <c r="Q18" s="76"/>
      <c r="R18" s="76"/>
      <c r="S18" s="76"/>
      <c r="T18" s="76"/>
      <c r="U18" s="76"/>
      <c r="V18" s="76"/>
      <c r="AI18" s="87">
        <f t="shared" ref="AI18:AI30" si="6">SUM(B18:AH18)</f>
        <v>1125000</v>
      </c>
    </row>
    <row r="19" spans="1:35" x14ac:dyDescent="0.25">
      <c r="A19" s="116" t="s">
        <v>139</v>
      </c>
      <c r="B19" s="76">
        <f>'Soft Cost'!G24</f>
        <v>250000</v>
      </c>
      <c r="C19" s="76">
        <f>'Soft Cost'!H24*0.5</f>
        <v>125000</v>
      </c>
      <c r="D19" s="76"/>
      <c r="E19" s="76"/>
      <c r="F19" s="76"/>
      <c r="G19" s="76"/>
      <c r="H19" s="76"/>
      <c r="I19" s="76"/>
      <c r="J19" s="76"/>
      <c r="K19" s="76"/>
      <c r="L19" s="76"/>
      <c r="M19" s="76"/>
      <c r="N19" s="76"/>
      <c r="O19" s="76"/>
      <c r="P19" s="76"/>
      <c r="Q19" s="76"/>
      <c r="R19" s="76"/>
      <c r="S19" s="76"/>
      <c r="T19" s="76"/>
      <c r="U19" s="76"/>
      <c r="V19" s="76"/>
      <c r="AI19" s="87">
        <f t="shared" si="6"/>
        <v>375000</v>
      </c>
    </row>
    <row r="20" spans="1:35" x14ac:dyDescent="0.25">
      <c r="A20" s="116" t="s">
        <v>33</v>
      </c>
      <c r="B20" s="76">
        <f>'Soft Cost'!G25</f>
        <v>50000</v>
      </c>
      <c r="C20" s="76">
        <f>'Soft Cost'!H25*0.5</f>
        <v>25000</v>
      </c>
      <c r="D20" s="76"/>
      <c r="E20" s="76"/>
      <c r="F20" s="76"/>
      <c r="G20" s="76"/>
      <c r="H20" s="76"/>
      <c r="I20" s="76"/>
      <c r="J20" s="76"/>
      <c r="K20" s="76"/>
      <c r="L20" s="76"/>
      <c r="M20" s="76"/>
      <c r="N20" s="76"/>
      <c r="O20" s="76"/>
      <c r="P20" s="76"/>
      <c r="Q20" s="76"/>
      <c r="R20" s="76"/>
      <c r="S20" s="76"/>
      <c r="T20" s="76"/>
      <c r="U20" s="76"/>
      <c r="V20" s="76"/>
      <c r="AI20" s="87">
        <f t="shared" si="6"/>
        <v>75000</v>
      </c>
    </row>
    <row r="21" spans="1:35" x14ac:dyDescent="0.25">
      <c r="A21" s="116" t="s">
        <v>34</v>
      </c>
      <c r="B21" s="76">
        <f>'Soft Cost'!G26</f>
        <v>50000</v>
      </c>
      <c r="C21" s="76">
        <f>'Soft Cost'!H26*0.5</f>
        <v>25000</v>
      </c>
      <c r="D21" s="76"/>
      <c r="E21" s="76"/>
      <c r="F21" s="76"/>
      <c r="G21" s="76"/>
      <c r="H21" s="76"/>
      <c r="I21" s="76"/>
      <c r="J21" s="76"/>
      <c r="K21" s="76"/>
      <c r="L21" s="76"/>
      <c r="M21" s="76"/>
      <c r="N21" s="76"/>
      <c r="O21" s="76"/>
      <c r="P21" s="76"/>
      <c r="Q21" s="76"/>
      <c r="R21" s="76"/>
      <c r="S21" s="76"/>
      <c r="T21" s="76"/>
      <c r="U21" s="76"/>
      <c r="V21" s="76"/>
      <c r="AI21" s="87">
        <f t="shared" si="6"/>
        <v>75000</v>
      </c>
    </row>
    <row r="22" spans="1:35" x14ac:dyDescent="0.25">
      <c r="A22" s="116" t="s">
        <v>123</v>
      </c>
      <c r="B22" s="76">
        <f>'Soft Cost'!G27</f>
        <v>50000</v>
      </c>
      <c r="C22" s="76">
        <f>'Soft Cost'!H27*0.5</f>
        <v>25000</v>
      </c>
      <c r="D22" s="76"/>
      <c r="E22" s="76"/>
      <c r="F22" s="76"/>
      <c r="G22" s="76"/>
      <c r="H22" s="76"/>
      <c r="I22" s="76"/>
      <c r="J22" s="76"/>
      <c r="K22" s="76"/>
      <c r="L22" s="76"/>
      <c r="M22" s="76"/>
      <c r="N22" s="76"/>
      <c r="O22" s="76"/>
      <c r="P22" s="76"/>
      <c r="Q22" s="76"/>
      <c r="R22" s="76"/>
      <c r="S22" s="76"/>
      <c r="T22" s="76"/>
      <c r="U22" s="76"/>
      <c r="V22" s="76"/>
      <c r="AI22" s="87">
        <f t="shared" si="6"/>
        <v>75000</v>
      </c>
    </row>
    <row r="23" spans="1:35" x14ac:dyDescent="0.25">
      <c r="A23" s="116" t="s">
        <v>36</v>
      </c>
      <c r="B23" s="76">
        <f>'Soft Cost'!G29</f>
        <v>50000</v>
      </c>
      <c r="C23" s="76">
        <f>'Soft Cost'!H29*0.5</f>
        <v>25000</v>
      </c>
      <c r="D23" s="76"/>
      <c r="E23" s="76"/>
      <c r="F23" s="76"/>
      <c r="G23" s="76"/>
      <c r="H23" s="76"/>
      <c r="I23" s="76"/>
      <c r="J23" s="76"/>
      <c r="K23" s="76"/>
      <c r="L23" s="76"/>
      <c r="M23" s="76"/>
      <c r="N23" s="76"/>
      <c r="O23" s="76"/>
      <c r="P23" s="76"/>
      <c r="Q23" s="76"/>
      <c r="R23" s="76"/>
      <c r="S23" s="76"/>
      <c r="T23" s="76"/>
      <c r="U23" s="76"/>
      <c r="V23" s="76"/>
      <c r="AI23" s="87">
        <f t="shared" si="6"/>
        <v>75000</v>
      </c>
    </row>
    <row r="24" spans="1:35" x14ac:dyDescent="0.25">
      <c r="A24" s="116" t="s">
        <v>37</v>
      </c>
      <c r="B24" s="76">
        <f>'Soft Cost'!G30</f>
        <v>50000</v>
      </c>
      <c r="C24" s="76">
        <f>'Soft Cost'!H30*0.5</f>
        <v>25000</v>
      </c>
      <c r="D24" s="76"/>
      <c r="E24" s="76"/>
      <c r="F24" s="76"/>
      <c r="G24" s="76"/>
      <c r="H24" s="76"/>
      <c r="I24" s="76"/>
      <c r="J24" s="76"/>
      <c r="K24" s="76"/>
      <c r="L24" s="76"/>
      <c r="M24" s="76"/>
      <c r="N24" s="76"/>
      <c r="O24" s="76"/>
      <c r="P24" s="76"/>
      <c r="Q24" s="76"/>
      <c r="R24" s="76"/>
      <c r="S24" s="76"/>
      <c r="T24" s="76"/>
      <c r="U24" s="76"/>
      <c r="V24" s="76"/>
      <c r="AI24" s="87">
        <f t="shared" si="6"/>
        <v>75000</v>
      </c>
    </row>
    <row r="25" spans="1:35" x14ac:dyDescent="0.25">
      <c r="A25" s="116" t="s">
        <v>38</v>
      </c>
      <c r="B25" s="76">
        <f>'Soft Cost'!G31</f>
        <v>50000</v>
      </c>
      <c r="C25" s="76">
        <f>'Soft Cost'!H31*0.5</f>
        <v>25000</v>
      </c>
      <c r="D25" s="76"/>
      <c r="E25" s="76"/>
      <c r="F25" s="76"/>
      <c r="G25" s="76"/>
      <c r="H25" s="76"/>
      <c r="I25" s="76"/>
      <c r="J25" s="76"/>
      <c r="K25" s="76"/>
      <c r="L25" s="76"/>
      <c r="M25" s="76"/>
      <c r="N25" s="76"/>
      <c r="O25" s="76"/>
      <c r="P25" s="76"/>
      <c r="Q25" s="76"/>
      <c r="R25" s="76"/>
      <c r="S25" s="76"/>
      <c r="T25" s="76"/>
      <c r="U25" s="76"/>
      <c r="V25" s="76"/>
      <c r="AI25" s="87">
        <f t="shared" si="6"/>
        <v>75000</v>
      </c>
    </row>
    <row r="26" spans="1:35" x14ac:dyDescent="0.25">
      <c r="A26" s="116" t="s">
        <v>126</v>
      </c>
      <c r="B26" s="76">
        <f>'Soft Cost'!G32</f>
        <v>50000</v>
      </c>
      <c r="C26" s="76">
        <f>'Soft Cost'!H32*0.5</f>
        <v>25000</v>
      </c>
      <c r="D26" s="76"/>
      <c r="E26" s="76"/>
      <c r="F26" s="76"/>
      <c r="G26" s="76"/>
      <c r="H26" s="76"/>
      <c r="I26" s="76"/>
      <c r="J26" s="76"/>
      <c r="K26" s="76"/>
      <c r="L26" s="76"/>
      <c r="M26" s="76"/>
      <c r="N26" s="76"/>
      <c r="O26" s="76"/>
      <c r="P26" s="76"/>
      <c r="Q26" s="76"/>
      <c r="R26" s="76"/>
      <c r="S26" s="76"/>
      <c r="T26" s="76"/>
      <c r="U26" s="76"/>
      <c r="V26" s="76"/>
      <c r="AI26" s="87">
        <f t="shared" si="6"/>
        <v>75000</v>
      </c>
    </row>
    <row r="27" spans="1:35" x14ac:dyDescent="0.25">
      <c r="A27" s="118" t="s">
        <v>160</v>
      </c>
      <c r="B27" s="119">
        <f>SUBTOTAL(9,B17:B26)</f>
        <v>2100000</v>
      </c>
      <c r="C27" s="119">
        <f>SUBTOTAL(9,C17:C26)</f>
        <v>1112500</v>
      </c>
      <c r="D27" s="76"/>
      <c r="E27" s="76"/>
      <c r="F27" s="76"/>
      <c r="G27" s="76"/>
      <c r="H27" s="76"/>
      <c r="I27" s="76"/>
      <c r="J27" s="76"/>
      <c r="K27" s="76"/>
      <c r="L27" s="76"/>
      <c r="M27" s="76"/>
      <c r="N27" s="76"/>
      <c r="O27" s="76"/>
      <c r="P27" s="76"/>
      <c r="Q27" s="76"/>
      <c r="R27" s="76"/>
      <c r="S27" s="76"/>
      <c r="T27" s="76"/>
      <c r="U27" s="76"/>
      <c r="V27" s="76"/>
      <c r="AI27" s="125">
        <f t="shared" si="6"/>
        <v>3212500</v>
      </c>
    </row>
    <row r="28" spans="1:35" x14ac:dyDescent="0.25">
      <c r="A28" s="116"/>
      <c r="B28" s="76"/>
      <c r="C28" s="76"/>
      <c r="D28" s="76"/>
      <c r="E28" s="76"/>
      <c r="F28" s="76"/>
      <c r="G28" s="76"/>
      <c r="H28" s="76"/>
      <c r="I28" s="76"/>
      <c r="J28" s="76"/>
      <c r="K28" s="76"/>
      <c r="L28" s="76"/>
      <c r="M28" s="76"/>
      <c r="N28" s="76"/>
      <c r="O28" s="76"/>
      <c r="P28" s="76"/>
      <c r="Q28" s="76"/>
      <c r="R28" s="76"/>
      <c r="S28" s="76"/>
      <c r="T28" s="76"/>
      <c r="U28" s="76"/>
      <c r="V28" s="76"/>
      <c r="AI28" s="87"/>
    </row>
    <row r="29" spans="1:35" x14ac:dyDescent="0.25">
      <c r="A29" s="115" t="s">
        <v>161</v>
      </c>
      <c r="B29" s="76">
        <f>'Soft Cost'!G35</f>
        <v>666500</v>
      </c>
      <c r="C29" s="76">
        <f>'Soft Cost'!H35*0.5</f>
        <v>387500</v>
      </c>
      <c r="D29" s="76"/>
      <c r="E29" s="76"/>
      <c r="F29" s="76"/>
      <c r="G29" s="76"/>
      <c r="H29" s="76"/>
      <c r="I29" s="76"/>
      <c r="J29" s="76"/>
      <c r="K29" s="76"/>
      <c r="L29" s="76"/>
      <c r="M29" s="76"/>
      <c r="N29" s="76"/>
      <c r="O29" s="76"/>
      <c r="P29" s="76"/>
      <c r="Q29" s="76"/>
      <c r="R29" s="76"/>
      <c r="S29" s="76"/>
      <c r="T29" s="76"/>
      <c r="U29" s="76"/>
      <c r="V29" s="76"/>
      <c r="AI29" s="87">
        <f t="shared" si="6"/>
        <v>1054000</v>
      </c>
    </row>
    <row r="30" spans="1:35" x14ac:dyDescent="0.25">
      <c r="A30" s="115" t="s">
        <v>162</v>
      </c>
      <c r="B30" s="76">
        <f>'Soft Cost'!G38</f>
        <v>276650</v>
      </c>
      <c r="C30" s="76">
        <f>'Soft Cost'!H38*0.5</f>
        <v>150000</v>
      </c>
      <c r="D30" s="76"/>
      <c r="E30" s="76"/>
      <c r="F30" s="76"/>
      <c r="G30" s="76"/>
      <c r="H30" s="76"/>
      <c r="I30" s="76"/>
      <c r="J30" s="76"/>
      <c r="K30" s="76"/>
      <c r="L30" s="76"/>
      <c r="M30" s="76"/>
      <c r="N30" s="76"/>
      <c r="O30" s="76"/>
      <c r="P30" s="76"/>
      <c r="Q30" s="76"/>
      <c r="R30" s="76"/>
      <c r="S30" s="76"/>
      <c r="T30" s="76"/>
      <c r="U30" s="76"/>
      <c r="V30" s="76"/>
      <c r="AI30" s="87">
        <f t="shared" si="6"/>
        <v>426650</v>
      </c>
    </row>
    <row r="31" spans="1:35" ht="15.75" thickBot="1" x14ac:dyDescent="0.3">
      <c r="A31" s="63" t="s">
        <v>116</v>
      </c>
      <c r="B31" s="122">
        <f>SUBTOTAL(9,B16:B30)</f>
        <v>3043150</v>
      </c>
      <c r="C31" s="122">
        <f>SUBTOTAL(9,C16:C30)</f>
        <v>1650000</v>
      </c>
      <c r="D31" s="122"/>
      <c r="E31" s="122"/>
      <c r="F31" s="122"/>
      <c r="G31" s="122"/>
      <c r="H31" s="122"/>
      <c r="I31" s="122"/>
      <c r="J31" s="122"/>
      <c r="K31" s="122"/>
      <c r="L31" s="122"/>
      <c r="M31" s="122"/>
      <c r="N31" s="122"/>
      <c r="O31" s="122"/>
      <c r="P31" s="122"/>
      <c r="Q31" s="122"/>
      <c r="R31" s="122"/>
      <c r="S31" s="122"/>
      <c r="T31" s="122"/>
      <c r="U31" s="122"/>
      <c r="V31" s="122"/>
      <c r="W31" s="63"/>
      <c r="X31" s="63"/>
      <c r="Y31" s="63"/>
      <c r="Z31" s="63"/>
      <c r="AA31" s="63"/>
      <c r="AB31" s="63"/>
      <c r="AC31" s="63"/>
      <c r="AD31" s="63"/>
      <c r="AE31" s="63"/>
      <c r="AF31" s="63"/>
      <c r="AG31" s="63"/>
      <c r="AH31" s="63"/>
      <c r="AI31" s="122">
        <f>SUM(AI27:AI30)</f>
        <v>4693150</v>
      </c>
    </row>
    <row r="32" spans="1:35" ht="15.75" thickTop="1" x14ac:dyDescent="0.25">
      <c r="A32" s="113"/>
      <c r="B32" s="76"/>
      <c r="C32" s="76"/>
      <c r="D32" s="76"/>
      <c r="E32" s="76"/>
      <c r="F32" s="76"/>
      <c r="G32" s="76"/>
      <c r="H32" s="76"/>
      <c r="I32" s="76"/>
      <c r="J32" s="76"/>
      <c r="K32" s="76"/>
      <c r="L32" s="76"/>
      <c r="M32" s="76"/>
      <c r="N32" s="76"/>
      <c r="O32" s="76"/>
      <c r="P32" s="76"/>
      <c r="Q32" s="76"/>
      <c r="R32" s="76"/>
      <c r="S32" s="76"/>
      <c r="T32" s="76"/>
      <c r="U32" s="76"/>
      <c r="V32" s="76"/>
      <c r="AI32" s="87"/>
    </row>
    <row r="33" spans="1:35" x14ac:dyDescent="0.25">
      <c r="A33" s="114" t="s">
        <v>163</v>
      </c>
      <c r="B33" s="76"/>
      <c r="C33" s="76"/>
      <c r="D33" s="76"/>
      <c r="E33" s="76"/>
      <c r="F33" s="76"/>
      <c r="G33" s="76"/>
      <c r="H33" s="76"/>
      <c r="I33" s="76"/>
      <c r="J33" s="76"/>
      <c r="K33" s="76"/>
      <c r="L33" s="76"/>
      <c r="M33" s="76"/>
      <c r="N33" s="76"/>
      <c r="O33" s="76"/>
      <c r="P33" s="76"/>
      <c r="Q33" s="76"/>
      <c r="R33" s="76"/>
      <c r="S33" s="76"/>
      <c r="T33" s="76"/>
      <c r="U33" s="76"/>
      <c r="V33" s="76"/>
      <c r="AI33" s="87"/>
    </row>
    <row r="34" spans="1:35" x14ac:dyDescent="0.25">
      <c r="A34" s="115" t="s">
        <v>137</v>
      </c>
      <c r="B34" s="76"/>
      <c r="C34" s="76">
        <f>'Soft Cost'!H22*0.5</f>
        <v>437500</v>
      </c>
      <c r="D34" s="76">
        <f>'Soft Cost'!I22</f>
        <v>1000000</v>
      </c>
      <c r="E34" s="76">
        <f>'Soft Cost'!J22</f>
        <v>1000000</v>
      </c>
      <c r="F34" s="76">
        <f>'Soft Cost'!K22</f>
        <v>1000000</v>
      </c>
      <c r="G34" s="76">
        <f>'Soft Cost'!L22</f>
        <v>1000000</v>
      </c>
      <c r="H34" s="76">
        <f>'Soft Cost'!M22</f>
        <v>1000000</v>
      </c>
      <c r="I34" s="76">
        <f>'Soft Cost'!N22</f>
        <v>1000000</v>
      </c>
      <c r="J34" s="76">
        <f>'Soft Cost'!O22</f>
        <v>1000000</v>
      </c>
      <c r="K34" s="76">
        <f>'Soft Cost'!P22</f>
        <v>1000000</v>
      </c>
      <c r="L34" s="76">
        <f>'Soft Cost'!Q22</f>
        <v>1000000</v>
      </c>
      <c r="M34" s="76">
        <f>'Soft Cost'!R22</f>
        <v>1000000</v>
      </c>
      <c r="N34" s="76">
        <f>'Soft Cost'!S22</f>
        <v>1000000</v>
      </c>
      <c r="O34" s="76">
        <f>'Soft Cost'!T22</f>
        <v>750000</v>
      </c>
      <c r="P34" s="76">
        <f>'Soft Cost'!U22</f>
        <v>750000</v>
      </c>
      <c r="Q34" s="76">
        <f>'Soft Cost'!V22</f>
        <v>500000</v>
      </c>
      <c r="R34" s="76">
        <f>'Soft Cost'!W22</f>
        <v>500000</v>
      </c>
      <c r="S34" s="76">
        <f>'Soft Cost'!X22</f>
        <v>500000</v>
      </c>
      <c r="T34" s="76">
        <f>'Soft Cost'!Y22</f>
        <v>500000</v>
      </c>
      <c r="U34" s="76">
        <f>'Soft Cost'!Z22</f>
        <v>500000</v>
      </c>
      <c r="V34" s="76">
        <f>'Soft Cost'!AA22</f>
        <v>500000</v>
      </c>
      <c r="W34" s="76">
        <f>'Soft Cost'!AB22</f>
        <v>500000</v>
      </c>
      <c r="X34" s="76">
        <f>'Soft Cost'!AC22</f>
        <v>500000</v>
      </c>
      <c r="Y34" s="76">
        <f>'Soft Cost'!AD22</f>
        <v>500000</v>
      </c>
      <c r="Z34" s="76">
        <f>'Soft Cost'!AE22</f>
        <v>500000</v>
      </c>
      <c r="AA34" s="76">
        <f>'Soft Cost'!AF22</f>
        <v>500000</v>
      </c>
      <c r="AB34" s="76">
        <f>'Soft Cost'!AG22</f>
        <v>500000</v>
      </c>
      <c r="AC34" s="76">
        <f>'Soft Cost'!AH22</f>
        <v>500000</v>
      </c>
      <c r="AD34" s="76">
        <f>'Soft Cost'!AI22</f>
        <v>500000</v>
      </c>
      <c r="AE34" s="76">
        <f>'Soft Cost'!AJ22</f>
        <v>500000</v>
      </c>
      <c r="AF34" s="76">
        <f>'Soft Cost'!AK22</f>
        <v>250000</v>
      </c>
      <c r="AG34" s="76">
        <f>'Soft Cost'!AL22</f>
        <v>250000</v>
      </c>
      <c r="AH34" s="76">
        <f>'Soft Cost'!AM22</f>
        <v>0</v>
      </c>
      <c r="AI34" s="87">
        <f>SUM(B34:AH34)</f>
        <v>20937500</v>
      </c>
    </row>
    <row r="35" spans="1:35" x14ac:dyDescent="0.25">
      <c r="A35" s="115" t="s">
        <v>138</v>
      </c>
      <c r="B35" s="76"/>
      <c r="C35" s="76">
        <f>'Soft Cost'!H23*0.5</f>
        <v>375000</v>
      </c>
      <c r="D35" s="76">
        <f>'Soft Cost'!I23+'Hard Cost'!I3</f>
        <v>5000000</v>
      </c>
      <c r="E35" s="76">
        <f>'Soft Cost'!J23+'Hard Cost'!J3</f>
        <v>7500000</v>
      </c>
      <c r="F35" s="76">
        <f>'Soft Cost'!K23+'Hard Cost'!K3</f>
        <v>7500000</v>
      </c>
      <c r="G35" s="76">
        <f>'Soft Cost'!L23+'Hard Cost'!L3</f>
        <v>27169175.78125</v>
      </c>
      <c r="H35" s="76">
        <f>'Soft Cost'!M23+'Hard Cost'!M3</f>
        <v>34892234.375</v>
      </c>
      <c r="I35" s="76">
        <f>'Soft Cost'!N23+'Hard Cost'!N3</f>
        <v>39003763.671875</v>
      </c>
      <c r="J35" s="76">
        <f>'Soft Cost'!O23+'Hard Cost'!O3</f>
        <v>39003763.671875</v>
      </c>
      <c r="K35" s="76">
        <f>'Soft Cost'!P23+'Hard Cost'!P3</f>
        <v>34892234.375</v>
      </c>
      <c r="L35" s="76">
        <f>'Soft Cost'!Q23+'Hard Cost'!Q3</f>
        <v>2000000</v>
      </c>
      <c r="M35" s="76">
        <f>'Soft Cost'!R23+'Hard Cost'!R3</f>
        <v>1000000</v>
      </c>
      <c r="N35" s="76">
        <f>'Soft Cost'!S23+'Hard Cost'!S3</f>
        <v>250000</v>
      </c>
      <c r="O35" s="76">
        <f>'Soft Cost'!T23+'Hard Cost'!T3</f>
        <v>250000</v>
      </c>
      <c r="P35" s="76">
        <f>'Soft Cost'!U23+'Hard Cost'!U3</f>
        <v>0</v>
      </c>
      <c r="Q35" s="76">
        <f>'Soft Cost'!V23+'Hard Cost'!V3</f>
        <v>0</v>
      </c>
      <c r="R35" s="76">
        <f>'Soft Cost'!W23+'Hard Cost'!W3</f>
        <v>0</v>
      </c>
      <c r="S35" s="76">
        <f>'Soft Cost'!X23+'Hard Cost'!X3</f>
        <v>0</v>
      </c>
      <c r="T35" s="76">
        <f>'Soft Cost'!Y23+'Hard Cost'!Y3</f>
        <v>0</v>
      </c>
      <c r="U35" s="76">
        <f>'Soft Cost'!Z23+'Hard Cost'!Z3</f>
        <v>0</v>
      </c>
      <c r="V35" s="76">
        <f>'Soft Cost'!AA23+'Hard Cost'!AA3</f>
        <v>0</v>
      </c>
      <c r="W35" s="76">
        <f>'Soft Cost'!AB23+'Hard Cost'!AB3</f>
        <v>0</v>
      </c>
      <c r="X35" s="76">
        <f>'Soft Cost'!AC23+'Hard Cost'!AC3</f>
        <v>0</v>
      </c>
      <c r="Y35" s="76">
        <f>'Soft Cost'!AD23+'Hard Cost'!AD3</f>
        <v>0</v>
      </c>
      <c r="Z35" s="76">
        <f>'Soft Cost'!AE23+'Hard Cost'!AE3</f>
        <v>0</v>
      </c>
      <c r="AA35" s="76">
        <f>'Soft Cost'!AF23+'Hard Cost'!AF3</f>
        <v>0</v>
      </c>
      <c r="AB35" s="76">
        <f>'Soft Cost'!AG23+'Hard Cost'!AG3</f>
        <v>0</v>
      </c>
      <c r="AC35" s="76">
        <f>'Soft Cost'!AH23+'Hard Cost'!AH3</f>
        <v>0</v>
      </c>
      <c r="AD35" s="76">
        <f>'Soft Cost'!AI23+'Hard Cost'!AI3</f>
        <v>0</v>
      </c>
      <c r="AE35" s="76">
        <f>'Soft Cost'!AJ23+'Hard Cost'!AJ3</f>
        <v>0</v>
      </c>
      <c r="AF35" s="76">
        <f>'Soft Cost'!AK23+'Hard Cost'!AK3</f>
        <v>0</v>
      </c>
      <c r="AG35" s="76">
        <f>'Soft Cost'!AL23+'Hard Cost'!AL3</f>
        <v>0</v>
      </c>
      <c r="AH35" s="76">
        <f>'Soft Cost'!AM23+'Hard Cost'!AM3</f>
        <v>0</v>
      </c>
      <c r="AI35" s="87">
        <f t="shared" ref="AI35:AI47" si="7">SUM(B35:AH35)</f>
        <v>198836171.875</v>
      </c>
    </row>
    <row r="36" spans="1:35" x14ac:dyDescent="0.25">
      <c r="A36" s="115" t="s">
        <v>139</v>
      </c>
      <c r="B36" s="76"/>
      <c r="C36" s="76">
        <f>'Soft Cost'!H24*0.5</f>
        <v>125000</v>
      </c>
      <c r="D36" s="76">
        <f>'Soft Cost'!I24+'Hard Cost'!I4</f>
        <v>0</v>
      </c>
      <c r="E36" s="76">
        <f>'Soft Cost'!J24+'Hard Cost'!J4</f>
        <v>0</v>
      </c>
      <c r="F36" s="76">
        <f>'Soft Cost'!K24+'Hard Cost'!K4</f>
        <v>1250000</v>
      </c>
      <c r="G36" s="76">
        <f>'Soft Cost'!L24+'Hard Cost'!L4</f>
        <v>2500000</v>
      </c>
      <c r="H36" s="76">
        <f>'Soft Cost'!M24+'Hard Cost'!M4</f>
        <v>3000000</v>
      </c>
      <c r="I36" s="76">
        <f>'Soft Cost'!N24+'Hard Cost'!N4</f>
        <v>3000000</v>
      </c>
      <c r="J36" s="76">
        <f>'Soft Cost'!O24+'Hard Cost'!O4</f>
        <v>3500000</v>
      </c>
      <c r="K36" s="76">
        <f>'Soft Cost'!P24+'Hard Cost'!P4</f>
        <v>18526149.765625</v>
      </c>
      <c r="L36" s="76">
        <f>'Soft Cost'!Q24+'Hard Cost'!Q4</f>
        <v>35552299.53125</v>
      </c>
      <c r="M36" s="76">
        <f>'Soft Cost'!R24+'Hard Cost'!R4</f>
        <v>35552299.53125</v>
      </c>
      <c r="N36" s="76">
        <f>'Soft Cost'!S24+'Hard Cost'!S4</f>
        <v>35552299.53125</v>
      </c>
      <c r="O36" s="76">
        <f>'Soft Cost'!T24+'Hard Cost'!T4</f>
        <v>18026149.765625</v>
      </c>
      <c r="P36" s="76">
        <f>'Soft Cost'!U24+'Hard Cost'!U4</f>
        <v>500000</v>
      </c>
      <c r="Q36" s="76">
        <f>'Soft Cost'!V24+'Hard Cost'!V4</f>
        <v>0</v>
      </c>
      <c r="R36" s="76">
        <f>'Soft Cost'!W24+'Hard Cost'!W4</f>
        <v>0</v>
      </c>
      <c r="S36" s="76">
        <f>'Soft Cost'!X24+'Hard Cost'!X4</f>
        <v>0</v>
      </c>
      <c r="T36" s="76">
        <f>'Soft Cost'!Y24+'Hard Cost'!Y4</f>
        <v>0</v>
      </c>
      <c r="U36" s="76">
        <f>'Soft Cost'!Z24+'Hard Cost'!Z4</f>
        <v>0</v>
      </c>
      <c r="V36" s="76">
        <f>'Soft Cost'!AA24+'Hard Cost'!AA4</f>
        <v>0</v>
      </c>
      <c r="W36" s="76">
        <f>'Soft Cost'!AB24+'Hard Cost'!AB4</f>
        <v>0</v>
      </c>
      <c r="X36" s="76">
        <f>'Soft Cost'!AC24+'Hard Cost'!AC4</f>
        <v>0</v>
      </c>
      <c r="Y36" s="76">
        <f>'Soft Cost'!AD24+'Hard Cost'!AD4</f>
        <v>0</v>
      </c>
      <c r="Z36" s="76">
        <f>'Soft Cost'!AE24+'Hard Cost'!AE4</f>
        <v>0</v>
      </c>
      <c r="AA36" s="76">
        <f>'Soft Cost'!AF24+'Hard Cost'!AF4</f>
        <v>0</v>
      </c>
      <c r="AB36" s="76">
        <f>'Soft Cost'!AG24+'Hard Cost'!AG4</f>
        <v>0</v>
      </c>
      <c r="AC36" s="76">
        <f>'Soft Cost'!AH24+'Hard Cost'!AH4</f>
        <v>0</v>
      </c>
      <c r="AD36" s="76">
        <f>'Soft Cost'!AI24+'Hard Cost'!AI4</f>
        <v>0</v>
      </c>
      <c r="AE36" s="76">
        <f>'Soft Cost'!AJ24+'Hard Cost'!AJ4</f>
        <v>0</v>
      </c>
      <c r="AF36" s="76">
        <f>'Soft Cost'!AK24+'Hard Cost'!AK4</f>
        <v>0</v>
      </c>
      <c r="AG36" s="76">
        <f>'Soft Cost'!AL24+'Hard Cost'!AL4</f>
        <v>0</v>
      </c>
      <c r="AH36" s="76">
        <f>'Soft Cost'!AM24+'Hard Cost'!AM4</f>
        <v>0</v>
      </c>
      <c r="AI36" s="87">
        <f t="shared" si="7"/>
        <v>157084198.125</v>
      </c>
    </row>
    <row r="37" spans="1:35" x14ac:dyDescent="0.25">
      <c r="A37" s="115" t="s">
        <v>33</v>
      </c>
      <c r="B37" s="76"/>
      <c r="C37" s="76">
        <f>'Soft Cost'!H25*0.5</f>
        <v>25000</v>
      </c>
      <c r="D37" s="76">
        <f>'Soft Cost'!I25+'Hard Cost'!I5</f>
        <v>0</v>
      </c>
      <c r="E37" s="76">
        <f>'Soft Cost'!J25+'Hard Cost'!J5</f>
        <v>0</v>
      </c>
      <c r="F37" s="76">
        <f>'Soft Cost'!K25+'Hard Cost'!K5</f>
        <v>0</v>
      </c>
      <c r="G37" s="76">
        <f>'Soft Cost'!L25+'Hard Cost'!L5</f>
        <v>0</v>
      </c>
      <c r="H37" s="76">
        <f>'Soft Cost'!M25+'Hard Cost'!M5</f>
        <v>0</v>
      </c>
      <c r="I37" s="76">
        <f>'Soft Cost'!N25+'Hard Cost'!N5</f>
        <v>0</v>
      </c>
      <c r="J37" s="76">
        <f>'Soft Cost'!O25+'Hard Cost'!O5</f>
        <v>0</v>
      </c>
      <c r="K37" s="76">
        <f>'Soft Cost'!P25+'Hard Cost'!P5</f>
        <v>0</v>
      </c>
      <c r="L37" s="76">
        <f>'Soft Cost'!Q25+'Hard Cost'!Q5</f>
        <v>0</v>
      </c>
      <c r="M37" s="76">
        <f>'Soft Cost'!R25+'Hard Cost'!R5</f>
        <v>0</v>
      </c>
      <c r="N37" s="76">
        <f>'Soft Cost'!S25+'Hard Cost'!S5</f>
        <v>0</v>
      </c>
      <c r="O37" s="76">
        <f>'Soft Cost'!T25+'Hard Cost'!T5</f>
        <v>0</v>
      </c>
      <c r="P37" s="76">
        <f>'Soft Cost'!U25+'Hard Cost'!U5</f>
        <v>0</v>
      </c>
      <c r="Q37" s="76">
        <f>'Soft Cost'!V25+'Hard Cost'!V5</f>
        <v>250000</v>
      </c>
      <c r="R37" s="76">
        <f>'Soft Cost'!W25+'Hard Cost'!W5</f>
        <v>500000</v>
      </c>
      <c r="S37" s="76">
        <f>'Soft Cost'!X25+'Hard Cost'!X5</f>
        <v>1500000</v>
      </c>
      <c r="T37" s="76">
        <f>'Soft Cost'!Y25+'Hard Cost'!Y5</f>
        <v>1500000</v>
      </c>
      <c r="U37" s="76">
        <f>'Soft Cost'!Z25+'Hard Cost'!Z5</f>
        <v>12138127.5</v>
      </c>
      <c r="V37" s="76">
        <f>'Soft Cost'!AA25+'Hard Cost'!AA5</f>
        <v>11288127.5</v>
      </c>
      <c r="W37" s="76">
        <f>'Soft Cost'!AB25+'Hard Cost'!AB5</f>
        <v>11263127.5</v>
      </c>
      <c r="X37" s="76">
        <f>'Soft Cost'!AC25+'Hard Cost'!AC5</f>
        <v>625000</v>
      </c>
      <c r="Y37" s="76">
        <f>'Soft Cost'!AD25+'Hard Cost'!AD5</f>
        <v>250000</v>
      </c>
      <c r="Z37" s="76">
        <f>'Soft Cost'!AE25+'Hard Cost'!AE5</f>
        <v>0</v>
      </c>
      <c r="AA37" s="76">
        <f>'Soft Cost'!AF25+'Hard Cost'!AF5</f>
        <v>0</v>
      </c>
      <c r="AB37" s="76">
        <f>'Soft Cost'!AG25+'Hard Cost'!AG5</f>
        <v>0</v>
      </c>
      <c r="AC37" s="76">
        <f>'Soft Cost'!AH25+'Hard Cost'!AH5</f>
        <v>0</v>
      </c>
      <c r="AD37" s="76">
        <f>'Soft Cost'!AI25+'Hard Cost'!AI5</f>
        <v>0</v>
      </c>
      <c r="AE37" s="76">
        <f>'Soft Cost'!AJ25+'Hard Cost'!AJ5</f>
        <v>0</v>
      </c>
      <c r="AF37" s="76">
        <f>'Soft Cost'!AK25+'Hard Cost'!AK5</f>
        <v>0</v>
      </c>
      <c r="AG37" s="76">
        <f>'Soft Cost'!AL25+'Hard Cost'!AL5</f>
        <v>0</v>
      </c>
      <c r="AH37" s="76">
        <f>'Soft Cost'!AM25+'Hard Cost'!AM5</f>
        <v>0</v>
      </c>
      <c r="AI37" s="87">
        <f t="shared" si="7"/>
        <v>39339382.5</v>
      </c>
    </row>
    <row r="38" spans="1:35" x14ac:dyDescent="0.25">
      <c r="A38" s="115" t="s">
        <v>34</v>
      </c>
      <c r="B38" s="76"/>
      <c r="C38" s="76">
        <f>'Soft Cost'!H26*0.5</f>
        <v>25000</v>
      </c>
      <c r="D38" s="76">
        <f>'Soft Cost'!I26+'Hard Cost'!I6</f>
        <v>0</v>
      </c>
      <c r="E38" s="76">
        <f>'Soft Cost'!J26+'Hard Cost'!J6</f>
        <v>0</v>
      </c>
      <c r="F38" s="76">
        <f>'Soft Cost'!K26+'Hard Cost'!K6</f>
        <v>0</v>
      </c>
      <c r="G38" s="76">
        <f>'Soft Cost'!L26+'Hard Cost'!L6</f>
        <v>0</v>
      </c>
      <c r="H38" s="76">
        <f>'Soft Cost'!M26+'Hard Cost'!M6</f>
        <v>0</v>
      </c>
      <c r="I38" s="76">
        <f>'Soft Cost'!N26+'Hard Cost'!N6</f>
        <v>0</v>
      </c>
      <c r="J38" s="76">
        <f>'Soft Cost'!O26+'Hard Cost'!O6</f>
        <v>0</v>
      </c>
      <c r="K38" s="76">
        <f>'Soft Cost'!P26+'Hard Cost'!P6</f>
        <v>0</v>
      </c>
      <c r="L38" s="76">
        <f>'Soft Cost'!Q26+'Hard Cost'!Q6</f>
        <v>0</v>
      </c>
      <c r="M38" s="76">
        <f>'Soft Cost'!R26+'Hard Cost'!R6</f>
        <v>0</v>
      </c>
      <c r="N38" s="76">
        <f>'Soft Cost'!S26+'Hard Cost'!S6</f>
        <v>0</v>
      </c>
      <c r="O38" s="76">
        <f>'Soft Cost'!T26+'Hard Cost'!T6</f>
        <v>0</v>
      </c>
      <c r="P38" s="76">
        <f>'Soft Cost'!U26+'Hard Cost'!U6</f>
        <v>1000000</v>
      </c>
      <c r="Q38" s="76">
        <f>'Soft Cost'!V26+'Hard Cost'!V6</f>
        <v>1500000</v>
      </c>
      <c r="R38" s="76">
        <f>'Soft Cost'!W26+'Hard Cost'!W6</f>
        <v>1500000</v>
      </c>
      <c r="S38" s="76">
        <f>'Soft Cost'!X26+'Hard Cost'!X6</f>
        <v>11816805.625</v>
      </c>
      <c r="T38" s="76">
        <f>'Soft Cost'!Y26+'Hard Cost'!Y6</f>
        <v>11816805.625</v>
      </c>
      <c r="U38" s="76">
        <f>'Soft Cost'!Z26+'Hard Cost'!Z6</f>
        <v>11691805.625</v>
      </c>
      <c r="V38" s="76">
        <f>'Soft Cost'!AA26+'Hard Cost'!AA6</f>
        <v>250000</v>
      </c>
      <c r="W38" s="76">
        <f>'Soft Cost'!AB26+'Hard Cost'!AB6</f>
        <v>0</v>
      </c>
      <c r="X38" s="76">
        <f>'Soft Cost'!AC26+'Hard Cost'!AC6</f>
        <v>0</v>
      </c>
      <c r="Y38" s="76">
        <f>'Soft Cost'!AD26+'Hard Cost'!AD6</f>
        <v>0</v>
      </c>
      <c r="Z38" s="76">
        <f>'Soft Cost'!AE26+'Hard Cost'!AE6</f>
        <v>0</v>
      </c>
      <c r="AA38" s="76">
        <f>'Soft Cost'!AF26+'Hard Cost'!AF6</f>
        <v>0</v>
      </c>
      <c r="AB38" s="76">
        <f>'Soft Cost'!AG26+'Hard Cost'!AG6</f>
        <v>0</v>
      </c>
      <c r="AC38" s="76">
        <f>'Soft Cost'!AH26+'Hard Cost'!AH6</f>
        <v>0</v>
      </c>
      <c r="AD38" s="76">
        <f>'Soft Cost'!AI26+'Hard Cost'!AI6</f>
        <v>0</v>
      </c>
      <c r="AE38" s="76">
        <f>'Soft Cost'!AJ26+'Hard Cost'!AJ6</f>
        <v>0</v>
      </c>
      <c r="AF38" s="76">
        <f>'Soft Cost'!AK26+'Hard Cost'!AK6</f>
        <v>0</v>
      </c>
      <c r="AG38" s="76">
        <f>'Soft Cost'!AL26+'Hard Cost'!AL6</f>
        <v>0</v>
      </c>
      <c r="AH38" s="76">
        <f>'Soft Cost'!AM26+'Hard Cost'!AM6</f>
        <v>0</v>
      </c>
      <c r="AI38" s="87">
        <f t="shared" si="7"/>
        <v>39600416.875</v>
      </c>
    </row>
    <row r="39" spans="1:35" x14ac:dyDescent="0.25">
      <c r="A39" s="115" t="s">
        <v>123</v>
      </c>
      <c r="B39" s="76"/>
      <c r="C39" s="76">
        <f>'Soft Cost'!H27*0.5</f>
        <v>25000</v>
      </c>
      <c r="D39" s="76">
        <f>'Soft Cost'!I27+'Hard Cost'!I7</f>
        <v>0</v>
      </c>
      <c r="E39" s="76">
        <f>'Soft Cost'!J27+'Hard Cost'!J7</f>
        <v>0</v>
      </c>
      <c r="F39" s="76">
        <f>'Soft Cost'!K27+'Hard Cost'!K7</f>
        <v>0</v>
      </c>
      <c r="G39" s="76">
        <f>'Soft Cost'!L27+'Hard Cost'!L7</f>
        <v>0</v>
      </c>
      <c r="H39" s="76">
        <f>'Soft Cost'!M27+'Hard Cost'!M7</f>
        <v>0</v>
      </c>
      <c r="I39" s="76">
        <f>'Soft Cost'!N27+'Hard Cost'!N7</f>
        <v>0</v>
      </c>
      <c r="J39" s="76">
        <f>'Soft Cost'!O27+'Hard Cost'!O7</f>
        <v>0</v>
      </c>
      <c r="K39" s="76">
        <f>'Soft Cost'!P27+'Hard Cost'!P7</f>
        <v>0</v>
      </c>
      <c r="L39" s="76">
        <f>'Soft Cost'!Q27+'Hard Cost'!Q7</f>
        <v>0</v>
      </c>
      <c r="M39" s="76">
        <f>'Soft Cost'!R27+'Hard Cost'!R7</f>
        <v>0</v>
      </c>
      <c r="N39" s="76">
        <f>'Soft Cost'!S27+'Hard Cost'!S7</f>
        <v>0</v>
      </c>
      <c r="O39" s="76">
        <f>'Soft Cost'!T27+'Hard Cost'!T7</f>
        <v>0</v>
      </c>
      <c r="P39" s="76">
        <f>'Soft Cost'!U27+'Hard Cost'!U7</f>
        <v>0</v>
      </c>
      <c r="Q39" s="76">
        <f>'Soft Cost'!V27+'Hard Cost'!V7</f>
        <v>1150000</v>
      </c>
      <c r="R39" s="76">
        <f>'Soft Cost'!W27+'Hard Cost'!W7</f>
        <v>1500000</v>
      </c>
      <c r="S39" s="76">
        <f>'Soft Cost'!X27+'Hard Cost'!X7</f>
        <v>1500000</v>
      </c>
      <c r="T39" s="76">
        <f>'Soft Cost'!Y27+'Hard Cost'!Y7</f>
        <v>500000</v>
      </c>
      <c r="U39" s="76">
        <f>'Soft Cost'!Z27+'Hard Cost'!Z7</f>
        <v>1500000</v>
      </c>
      <c r="V39" s="76">
        <f>'Soft Cost'!AA27+'Hard Cost'!AA7</f>
        <v>11624029.583333334</v>
      </c>
      <c r="W39" s="76">
        <f>'Soft Cost'!AB27+'Hard Cost'!AB7</f>
        <v>11624029.583333334</v>
      </c>
      <c r="X39" s="76">
        <f>'Soft Cost'!AC27+'Hard Cost'!AC7</f>
        <v>11624029.583333334</v>
      </c>
      <c r="Y39" s="76">
        <f>'Soft Cost'!AD27+'Hard Cost'!AD7</f>
        <v>250000</v>
      </c>
      <c r="Z39" s="76">
        <f>'Soft Cost'!AE27+'Hard Cost'!AE7</f>
        <v>0</v>
      </c>
      <c r="AA39" s="76">
        <f>'Soft Cost'!AF27+'Hard Cost'!AF7</f>
        <v>0</v>
      </c>
      <c r="AB39" s="76">
        <f>'Soft Cost'!AG27+'Hard Cost'!AG7</f>
        <v>0</v>
      </c>
      <c r="AC39" s="76">
        <f>'Soft Cost'!AH27+'Hard Cost'!AH7</f>
        <v>0</v>
      </c>
      <c r="AD39" s="76">
        <f>'Soft Cost'!AI27+'Hard Cost'!AI7</f>
        <v>0</v>
      </c>
      <c r="AE39" s="76">
        <f>'Soft Cost'!AJ27+'Hard Cost'!AJ7</f>
        <v>0</v>
      </c>
      <c r="AF39" s="76">
        <f>'Soft Cost'!AK27+'Hard Cost'!AK7</f>
        <v>0</v>
      </c>
      <c r="AG39" s="76">
        <f>'Soft Cost'!AL27+'Hard Cost'!AL7</f>
        <v>0</v>
      </c>
      <c r="AH39" s="76">
        <f>'Soft Cost'!AM27+'Hard Cost'!AM7</f>
        <v>0</v>
      </c>
      <c r="AI39" s="87">
        <f t="shared" si="7"/>
        <v>41297088.750000007</v>
      </c>
    </row>
    <row r="40" spans="1:35" x14ac:dyDescent="0.25">
      <c r="A40" s="115" t="s">
        <v>36</v>
      </c>
      <c r="B40" s="76"/>
      <c r="C40" s="76">
        <f>'Soft Cost'!H29*0.5</f>
        <v>25000</v>
      </c>
      <c r="D40" s="76">
        <f>'Soft Cost'!I29+'Hard Cost'!I9</f>
        <v>0</v>
      </c>
      <c r="E40" s="76">
        <f>'Soft Cost'!J29+'Hard Cost'!J9</f>
        <v>0</v>
      </c>
      <c r="F40" s="76">
        <f>'Soft Cost'!K29+'Hard Cost'!K9</f>
        <v>0</v>
      </c>
      <c r="G40" s="76">
        <f>'Soft Cost'!L29+'Hard Cost'!L9</f>
        <v>0</v>
      </c>
      <c r="H40" s="76">
        <f>'Soft Cost'!M29+'Hard Cost'!M9</f>
        <v>0</v>
      </c>
      <c r="I40" s="76">
        <f>'Soft Cost'!N29+'Hard Cost'!N9</f>
        <v>0</v>
      </c>
      <c r="J40" s="76">
        <f>'Soft Cost'!O29+'Hard Cost'!O9</f>
        <v>0</v>
      </c>
      <c r="K40" s="76">
        <f>'Soft Cost'!P29+'Hard Cost'!P9</f>
        <v>0</v>
      </c>
      <c r="L40" s="76">
        <f>'Soft Cost'!Q29+'Hard Cost'!Q9</f>
        <v>0</v>
      </c>
      <c r="M40" s="76">
        <f>'Soft Cost'!R29+'Hard Cost'!R9</f>
        <v>0</v>
      </c>
      <c r="N40" s="76">
        <f>'Soft Cost'!S29+'Hard Cost'!S9</f>
        <v>0</v>
      </c>
      <c r="O40" s="76">
        <f>'Soft Cost'!T29+'Hard Cost'!T9</f>
        <v>0</v>
      </c>
      <c r="P40" s="76">
        <f>'Soft Cost'!U29+'Hard Cost'!U9</f>
        <v>0</v>
      </c>
      <c r="Q40" s="76">
        <f>'Soft Cost'!V29+'Hard Cost'!V9</f>
        <v>0</v>
      </c>
      <c r="R40" s="76">
        <f>'Soft Cost'!W29+'Hard Cost'!W9</f>
        <v>0</v>
      </c>
      <c r="S40" s="76">
        <f>'Soft Cost'!X29+'Hard Cost'!X9</f>
        <v>500000</v>
      </c>
      <c r="T40" s="76">
        <f>'Soft Cost'!Y29+'Hard Cost'!Y9</f>
        <v>1500000</v>
      </c>
      <c r="U40" s="76">
        <f>'Soft Cost'!Z29+'Hard Cost'!Z9</f>
        <v>2000000</v>
      </c>
      <c r="V40" s="76">
        <f>'Soft Cost'!AA29+'Hard Cost'!AA9</f>
        <v>12797970.416666666</v>
      </c>
      <c r="W40" s="76">
        <f>'Soft Cost'!AB29+'Hard Cost'!AB9</f>
        <v>11397970.416666666</v>
      </c>
      <c r="X40" s="76">
        <f>'Soft Cost'!AC29+'Hard Cost'!AC9</f>
        <v>11397970.416666666</v>
      </c>
      <c r="Y40" s="76">
        <f>'Soft Cost'!AD29+'Hard Cost'!AD9</f>
        <v>500000</v>
      </c>
      <c r="Z40" s="76">
        <f>'Soft Cost'!AE29+'Hard Cost'!AE9</f>
        <v>0</v>
      </c>
      <c r="AA40" s="76">
        <f>'Soft Cost'!AF29+'Hard Cost'!AF9</f>
        <v>0</v>
      </c>
      <c r="AB40" s="76">
        <f>'Soft Cost'!AG29+'Hard Cost'!AG9</f>
        <v>0</v>
      </c>
      <c r="AC40" s="76">
        <f>'Soft Cost'!AH29+'Hard Cost'!AH9</f>
        <v>0</v>
      </c>
      <c r="AD40" s="76">
        <f>'Soft Cost'!AI29+'Hard Cost'!AI9</f>
        <v>0</v>
      </c>
      <c r="AE40" s="76">
        <f>'Soft Cost'!AJ29+'Hard Cost'!AJ9</f>
        <v>0</v>
      </c>
      <c r="AF40" s="76">
        <f>'Soft Cost'!AK29+'Hard Cost'!AK9</f>
        <v>0</v>
      </c>
      <c r="AG40" s="76">
        <f>'Soft Cost'!AL29+'Hard Cost'!AL9</f>
        <v>0</v>
      </c>
      <c r="AH40" s="76">
        <f>'Soft Cost'!AM29+'Hard Cost'!AM9</f>
        <v>0</v>
      </c>
      <c r="AI40" s="87">
        <f t="shared" si="7"/>
        <v>40118911.249999993</v>
      </c>
    </row>
    <row r="41" spans="1:35" x14ac:dyDescent="0.25">
      <c r="A41" s="115" t="s">
        <v>37</v>
      </c>
      <c r="B41" s="76"/>
      <c r="C41" s="76">
        <f>'Soft Cost'!H30*0.5</f>
        <v>25000</v>
      </c>
      <c r="D41" s="76">
        <f>'Soft Cost'!I30+'Hard Cost'!I10</f>
        <v>0</v>
      </c>
      <c r="E41" s="76">
        <f>'Soft Cost'!J30+'Hard Cost'!J10</f>
        <v>0</v>
      </c>
      <c r="F41" s="76">
        <f>'Soft Cost'!K30+'Hard Cost'!K10</f>
        <v>0</v>
      </c>
      <c r="G41" s="76">
        <f>'Soft Cost'!L30+'Hard Cost'!L10</f>
        <v>0</v>
      </c>
      <c r="H41" s="76">
        <f>'Soft Cost'!M30+'Hard Cost'!M10</f>
        <v>0</v>
      </c>
      <c r="I41" s="76">
        <f>'Soft Cost'!N30+'Hard Cost'!N10</f>
        <v>0</v>
      </c>
      <c r="J41" s="76">
        <f>'Soft Cost'!O30+'Hard Cost'!O10</f>
        <v>0</v>
      </c>
      <c r="K41" s="76">
        <f>'Soft Cost'!P30+'Hard Cost'!P10</f>
        <v>0</v>
      </c>
      <c r="L41" s="76">
        <f>'Soft Cost'!Q30+'Hard Cost'!Q10</f>
        <v>0</v>
      </c>
      <c r="M41" s="76">
        <f>'Soft Cost'!R30+'Hard Cost'!R10</f>
        <v>0</v>
      </c>
      <c r="N41" s="76">
        <f>'Soft Cost'!S30+'Hard Cost'!S10</f>
        <v>0</v>
      </c>
      <c r="O41" s="76">
        <f>'Soft Cost'!T30+'Hard Cost'!T10</f>
        <v>0</v>
      </c>
      <c r="P41" s="76">
        <f>'Soft Cost'!U30+'Hard Cost'!U10</f>
        <v>0</v>
      </c>
      <c r="Q41" s="76">
        <f>'Soft Cost'!V30+'Hard Cost'!V10</f>
        <v>0</v>
      </c>
      <c r="R41" s="76">
        <f>'Soft Cost'!W30+'Hard Cost'!W10</f>
        <v>0</v>
      </c>
      <c r="S41" s="76">
        <f>'Soft Cost'!X30+'Hard Cost'!X10</f>
        <v>0</v>
      </c>
      <c r="T41" s="76">
        <f>'Soft Cost'!Y30+'Hard Cost'!Y10</f>
        <v>0</v>
      </c>
      <c r="U41" s="76">
        <f>'Soft Cost'!Z30+'Hard Cost'!Z10</f>
        <v>1500000</v>
      </c>
      <c r="V41" s="76">
        <f>'Soft Cost'!AA30+'Hard Cost'!AA10</f>
        <v>1500000</v>
      </c>
      <c r="W41" s="76">
        <f>'Soft Cost'!AB30+'Hard Cost'!AB10</f>
        <v>2000000</v>
      </c>
      <c r="X41" s="76">
        <f>'Soft Cost'!AC30+'Hard Cost'!AC10</f>
        <v>1500000</v>
      </c>
      <c r="Y41" s="76">
        <f>'Soft Cost'!AD30+'Hard Cost'!AD10</f>
        <v>12945558.125</v>
      </c>
      <c r="Z41" s="76">
        <f>'Soft Cost'!AE30+'Hard Cost'!AE10</f>
        <v>12945558.125</v>
      </c>
      <c r="AA41" s="76">
        <f>'Soft Cost'!AF30+'Hard Cost'!AF10</f>
        <v>12945558.125</v>
      </c>
      <c r="AB41" s="76">
        <f>'Soft Cost'!AG30+'Hard Cost'!AG10</f>
        <v>400000</v>
      </c>
      <c r="AC41" s="76">
        <f>'Soft Cost'!AH30+'Hard Cost'!AH10</f>
        <v>0</v>
      </c>
      <c r="AD41" s="76">
        <f>'Soft Cost'!AI30+'Hard Cost'!AI10</f>
        <v>0</v>
      </c>
      <c r="AE41" s="76">
        <f>'Soft Cost'!AJ30+'Hard Cost'!AJ10</f>
        <v>0</v>
      </c>
      <c r="AF41" s="76">
        <f>'Soft Cost'!AK30+'Hard Cost'!AK10</f>
        <v>0</v>
      </c>
      <c r="AG41" s="76">
        <f>'Soft Cost'!AL30+'Hard Cost'!AL10</f>
        <v>0</v>
      </c>
      <c r="AH41" s="76">
        <f>'Soft Cost'!AM30+'Hard Cost'!AM10</f>
        <v>0</v>
      </c>
      <c r="AI41" s="87">
        <f t="shared" si="7"/>
        <v>45761674.375</v>
      </c>
    </row>
    <row r="42" spans="1:35" x14ac:dyDescent="0.25">
      <c r="A42" s="115" t="s">
        <v>38</v>
      </c>
      <c r="B42" s="76"/>
      <c r="C42" s="76">
        <f>'Soft Cost'!H31*0.5</f>
        <v>25000</v>
      </c>
      <c r="D42" s="76">
        <f>'Soft Cost'!I31+'Hard Cost'!I11</f>
        <v>0</v>
      </c>
      <c r="E42" s="76">
        <f>'Soft Cost'!J31+'Hard Cost'!J11</f>
        <v>0</v>
      </c>
      <c r="F42" s="76">
        <f>'Soft Cost'!K31+'Hard Cost'!K11</f>
        <v>0</v>
      </c>
      <c r="G42" s="76">
        <f>'Soft Cost'!L31+'Hard Cost'!L11</f>
        <v>0</v>
      </c>
      <c r="H42" s="76">
        <f>'Soft Cost'!M31+'Hard Cost'!M11</f>
        <v>0</v>
      </c>
      <c r="I42" s="76">
        <f>'Soft Cost'!N31+'Hard Cost'!N11</f>
        <v>0</v>
      </c>
      <c r="J42" s="76">
        <f>'Soft Cost'!O31+'Hard Cost'!O11</f>
        <v>0</v>
      </c>
      <c r="K42" s="76">
        <f>'Soft Cost'!P31+'Hard Cost'!P11</f>
        <v>0</v>
      </c>
      <c r="L42" s="76">
        <f>'Soft Cost'!Q31+'Hard Cost'!Q11</f>
        <v>0</v>
      </c>
      <c r="M42" s="76">
        <f>'Soft Cost'!R31+'Hard Cost'!R11</f>
        <v>0</v>
      </c>
      <c r="N42" s="76">
        <f>'Soft Cost'!S31+'Hard Cost'!S11</f>
        <v>0</v>
      </c>
      <c r="O42" s="76">
        <f>'Soft Cost'!T31+'Hard Cost'!T11</f>
        <v>0</v>
      </c>
      <c r="P42" s="76">
        <f>'Soft Cost'!U31+'Hard Cost'!U11</f>
        <v>0</v>
      </c>
      <c r="Q42" s="76">
        <f>'Soft Cost'!V31+'Hard Cost'!V11</f>
        <v>0</v>
      </c>
      <c r="R42" s="76">
        <f>'Soft Cost'!W31+'Hard Cost'!W11</f>
        <v>0</v>
      </c>
      <c r="S42" s="76">
        <f>'Soft Cost'!X31+'Hard Cost'!X11</f>
        <v>0</v>
      </c>
      <c r="T42" s="76">
        <f>'Soft Cost'!Y31+'Hard Cost'!Y11</f>
        <v>0</v>
      </c>
      <c r="U42" s="76">
        <f>'Soft Cost'!Z31+'Hard Cost'!Z11</f>
        <v>0</v>
      </c>
      <c r="V42" s="76">
        <f>'Soft Cost'!AA31+'Hard Cost'!AA11</f>
        <v>0</v>
      </c>
      <c r="W42" s="76">
        <f>'Soft Cost'!AB31+'Hard Cost'!AB11</f>
        <v>0</v>
      </c>
      <c r="X42" s="76">
        <f>'Soft Cost'!AC31+'Hard Cost'!AC11</f>
        <v>0</v>
      </c>
      <c r="Y42" s="76">
        <f>'Soft Cost'!AD31+'Hard Cost'!AD11</f>
        <v>2500000</v>
      </c>
      <c r="Z42" s="76">
        <f>'Soft Cost'!AE31+'Hard Cost'!AE11</f>
        <v>2650000</v>
      </c>
      <c r="AA42" s="76">
        <f>'Soft Cost'!AF31+'Hard Cost'!AF11</f>
        <v>2750000</v>
      </c>
      <c r="AB42" s="76">
        <f>'Soft Cost'!AG31+'Hard Cost'!AG11</f>
        <v>23362675.416666668</v>
      </c>
      <c r="AC42" s="76">
        <f>'Soft Cost'!AH31+'Hard Cost'!AH11</f>
        <v>21362675.416666668</v>
      </c>
      <c r="AD42" s="76">
        <f>'Soft Cost'!AI31+'Hard Cost'!AI11</f>
        <v>21362675.416666668</v>
      </c>
      <c r="AE42" s="76">
        <f>'Soft Cost'!AJ31+'Hard Cost'!AJ11</f>
        <v>750000</v>
      </c>
      <c r="AF42" s="76">
        <f>'Soft Cost'!AK31+'Hard Cost'!AK11</f>
        <v>500000</v>
      </c>
      <c r="AG42" s="76">
        <f>'Soft Cost'!AL31+'Hard Cost'!AL11</f>
        <v>0</v>
      </c>
      <c r="AH42" s="76">
        <f>'Soft Cost'!AM31+'Hard Cost'!AM11</f>
        <v>0</v>
      </c>
      <c r="AI42" s="87">
        <f t="shared" si="7"/>
        <v>75263026.25</v>
      </c>
    </row>
    <row r="43" spans="1:35" x14ac:dyDescent="0.25">
      <c r="A43" s="115" t="s">
        <v>126</v>
      </c>
      <c r="B43" s="76"/>
      <c r="C43" s="76">
        <f>'Soft Cost'!H32*0.5</f>
        <v>25000</v>
      </c>
      <c r="D43" s="76">
        <f>'Soft Cost'!I32+'Hard Cost'!I12</f>
        <v>0</v>
      </c>
      <c r="E43" s="76">
        <f>'Soft Cost'!J32+'Hard Cost'!J12</f>
        <v>0</v>
      </c>
      <c r="F43" s="76">
        <f>'Soft Cost'!K32+'Hard Cost'!K12</f>
        <v>0</v>
      </c>
      <c r="G43" s="76">
        <f>'Soft Cost'!L32+'Hard Cost'!L12</f>
        <v>0</v>
      </c>
      <c r="H43" s="76">
        <f>'Soft Cost'!M32+'Hard Cost'!M12</f>
        <v>0</v>
      </c>
      <c r="I43" s="76">
        <f>'Soft Cost'!N32+'Hard Cost'!N12</f>
        <v>0</v>
      </c>
      <c r="J43" s="76">
        <f>'Soft Cost'!O32+'Hard Cost'!O12</f>
        <v>0</v>
      </c>
      <c r="K43" s="76">
        <f>'Soft Cost'!P32+'Hard Cost'!P12</f>
        <v>0</v>
      </c>
      <c r="L43" s="76">
        <f>'Soft Cost'!Q32+'Hard Cost'!Q12</f>
        <v>0</v>
      </c>
      <c r="M43" s="76">
        <f>'Soft Cost'!R32+'Hard Cost'!R12</f>
        <v>0</v>
      </c>
      <c r="N43" s="76">
        <f>'Soft Cost'!S32+'Hard Cost'!S12</f>
        <v>0</v>
      </c>
      <c r="O43" s="76">
        <f>'Soft Cost'!T32+'Hard Cost'!T12</f>
        <v>0</v>
      </c>
      <c r="P43" s="76">
        <f>'Soft Cost'!U32+'Hard Cost'!U12</f>
        <v>0</v>
      </c>
      <c r="Q43" s="76">
        <f>'Soft Cost'!V32+'Hard Cost'!V12</f>
        <v>0</v>
      </c>
      <c r="R43" s="76">
        <f>'Soft Cost'!W32+'Hard Cost'!W12</f>
        <v>0</v>
      </c>
      <c r="S43" s="76">
        <f>'Soft Cost'!X32+'Hard Cost'!X12</f>
        <v>0</v>
      </c>
      <c r="T43" s="76">
        <f>'Soft Cost'!Y32+'Hard Cost'!Y12</f>
        <v>0</v>
      </c>
      <c r="U43" s="76">
        <f>'Soft Cost'!Z32+'Hard Cost'!Z12</f>
        <v>0</v>
      </c>
      <c r="V43" s="76">
        <f>'Soft Cost'!AA32+'Hard Cost'!AA12</f>
        <v>0</v>
      </c>
      <c r="W43" s="76">
        <f>'Soft Cost'!AB32+'Hard Cost'!AB12</f>
        <v>0</v>
      </c>
      <c r="X43" s="76">
        <f>'Soft Cost'!AC32+'Hard Cost'!AC12</f>
        <v>0</v>
      </c>
      <c r="Y43" s="76">
        <f>'Soft Cost'!AD32+'Hard Cost'!AD12</f>
        <v>0</v>
      </c>
      <c r="Z43" s="76">
        <f>'Soft Cost'!AE32+'Hard Cost'!AE12</f>
        <v>0</v>
      </c>
      <c r="AA43" s="76">
        <f>'Soft Cost'!AF32+'Hard Cost'!AF12</f>
        <v>1000000</v>
      </c>
      <c r="AB43" s="76">
        <f>'Soft Cost'!AG32+'Hard Cost'!AG12</f>
        <v>2000000</v>
      </c>
      <c r="AC43" s="76">
        <f>'Soft Cost'!AH32+'Hard Cost'!AH12</f>
        <v>2150000</v>
      </c>
      <c r="AD43" s="76">
        <f>'Soft Cost'!AI32+'Hard Cost'!AI12</f>
        <v>2000000</v>
      </c>
      <c r="AE43" s="76">
        <f>'Soft Cost'!AJ32+'Hard Cost'!AJ12</f>
        <v>15417986.666666666</v>
      </c>
      <c r="AF43" s="76">
        <f>'Soft Cost'!AK32+'Hard Cost'!AK12</f>
        <v>15417986.666666666</v>
      </c>
      <c r="AG43" s="76">
        <f>'Soft Cost'!AL32+'Hard Cost'!AL12</f>
        <v>15417986.666666666</v>
      </c>
      <c r="AH43" s="76">
        <f>'Soft Cost'!AM32+'Hard Cost'!AM12</f>
        <v>500000</v>
      </c>
      <c r="AI43" s="87">
        <f t="shared" si="7"/>
        <v>53928959.999999993</v>
      </c>
    </row>
    <row r="44" spans="1:35" x14ac:dyDescent="0.25">
      <c r="A44" s="118" t="s">
        <v>164</v>
      </c>
      <c r="B44" s="119"/>
      <c r="C44" s="119">
        <f>SUBTOTAL(9,C34:C43)</f>
        <v>1112500</v>
      </c>
      <c r="D44" s="119">
        <f>SUBTOTAL(9,D34:D43)</f>
        <v>6000000</v>
      </c>
      <c r="E44" s="119">
        <f t="shared" ref="E44:AI44" si="8">SUBTOTAL(9,E34:E43)</f>
        <v>8500000</v>
      </c>
      <c r="F44" s="119">
        <f t="shared" si="8"/>
        <v>9750000</v>
      </c>
      <c r="G44" s="119">
        <f t="shared" si="8"/>
        <v>30669175.78125</v>
      </c>
      <c r="H44" s="119">
        <f t="shared" si="8"/>
        <v>38892234.375</v>
      </c>
      <c r="I44" s="119">
        <f t="shared" si="8"/>
        <v>43003763.671875</v>
      </c>
      <c r="J44" s="119">
        <f t="shared" si="8"/>
        <v>43503763.671875</v>
      </c>
      <c r="K44" s="119">
        <f t="shared" si="8"/>
        <v>54418384.140625</v>
      </c>
      <c r="L44" s="119">
        <f t="shared" si="8"/>
        <v>38552299.53125</v>
      </c>
      <c r="M44" s="119">
        <f t="shared" si="8"/>
        <v>37552299.53125</v>
      </c>
      <c r="N44" s="119">
        <f t="shared" si="8"/>
        <v>36802299.53125</v>
      </c>
      <c r="O44" s="119">
        <f t="shared" si="8"/>
        <v>19026149.765625</v>
      </c>
      <c r="P44" s="119">
        <f t="shared" si="8"/>
        <v>2250000</v>
      </c>
      <c r="Q44" s="119">
        <f t="shared" si="8"/>
        <v>3400000</v>
      </c>
      <c r="R44" s="119">
        <f t="shared" si="8"/>
        <v>4000000</v>
      </c>
      <c r="S44" s="119">
        <f t="shared" si="8"/>
        <v>15816805.625</v>
      </c>
      <c r="T44" s="119">
        <f t="shared" si="8"/>
        <v>15816805.625</v>
      </c>
      <c r="U44" s="119">
        <f t="shared" si="8"/>
        <v>29329933.125</v>
      </c>
      <c r="V44" s="119">
        <f t="shared" si="8"/>
        <v>37960127.5</v>
      </c>
      <c r="W44" s="119">
        <f t="shared" si="8"/>
        <v>36785127.5</v>
      </c>
      <c r="X44" s="119">
        <f t="shared" si="8"/>
        <v>25647000</v>
      </c>
      <c r="Y44" s="119">
        <f t="shared" si="8"/>
        <v>16945558.125</v>
      </c>
      <c r="Z44" s="119">
        <f t="shared" si="8"/>
        <v>16095558.125</v>
      </c>
      <c r="AA44" s="119">
        <f t="shared" si="8"/>
        <v>17195558.125</v>
      </c>
      <c r="AB44" s="119">
        <f t="shared" si="8"/>
        <v>26262675.416666668</v>
      </c>
      <c r="AC44" s="119">
        <f t="shared" si="8"/>
        <v>24012675.416666668</v>
      </c>
      <c r="AD44" s="119">
        <f t="shared" si="8"/>
        <v>23862675.416666668</v>
      </c>
      <c r="AE44" s="119">
        <f t="shared" si="8"/>
        <v>16667986.666666666</v>
      </c>
      <c r="AF44" s="119">
        <f t="shared" si="8"/>
        <v>16167986.666666666</v>
      </c>
      <c r="AG44" s="119">
        <f t="shared" si="8"/>
        <v>15667986.666666666</v>
      </c>
      <c r="AH44" s="119">
        <f t="shared" si="8"/>
        <v>500000</v>
      </c>
      <c r="AI44" s="119">
        <f t="shared" si="8"/>
        <v>712167330</v>
      </c>
    </row>
    <row r="45" spans="1:35" x14ac:dyDescent="0.25">
      <c r="A45" s="115"/>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87">
        <f t="shared" si="7"/>
        <v>0</v>
      </c>
    </row>
    <row r="46" spans="1:35" x14ac:dyDescent="0.25">
      <c r="A46" s="115" t="s">
        <v>161</v>
      </c>
      <c r="B46" s="76"/>
      <c r="C46" s="76">
        <f>'Soft Cost'!H35*0.5</f>
        <v>387500</v>
      </c>
      <c r="D46" s="76">
        <f>'Soft Cost'!I35</f>
        <v>1472500</v>
      </c>
      <c r="E46" s="76">
        <f>'Soft Cost'!J35</f>
        <v>1829000</v>
      </c>
      <c r="F46" s="76">
        <f>'Soft Cost'!K35</f>
        <v>2015000</v>
      </c>
      <c r="G46" s="76">
        <f>'Soft Cost'!L35</f>
        <v>2139000</v>
      </c>
      <c r="H46" s="76">
        <f>'Soft Cost'!M35</f>
        <v>2261000</v>
      </c>
      <c r="I46" s="76">
        <f>'Soft Cost'!N35</f>
        <v>2261000</v>
      </c>
      <c r="J46" s="76">
        <f>'Soft Cost'!O35</f>
        <v>2261000</v>
      </c>
      <c r="K46" s="76">
        <f>'Soft Cost'!P35</f>
        <v>2261000</v>
      </c>
      <c r="L46" s="76">
        <f>'Soft Cost'!Q35</f>
        <v>2261000</v>
      </c>
      <c r="M46" s="76">
        <f>'Soft Cost'!R35</f>
        <v>2261000</v>
      </c>
      <c r="N46" s="76">
        <f>'Soft Cost'!S35</f>
        <v>2261000</v>
      </c>
      <c r="O46" s="76">
        <f>'Soft Cost'!T35</f>
        <v>2261000</v>
      </c>
      <c r="P46" s="76">
        <f>'Soft Cost'!U35</f>
        <v>2261000</v>
      </c>
      <c r="Q46" s="76">
        <f>'Soft Cost'!V35</f>
        <v>2261000</v>
      </c>
      <c r="R46" s="76">
        <f>'Soft Cost'!W35</f>
        <v>2261000</v>
      </c>
      <c r="S46" s="76">
        <f>'Soft Cost'!X35</f>
        <v>2261000</v>
      </c>
      <c r="T46" s="76">
        <f>'Soft Cost'!Y35</f>
        <v>2261000</v>
      </c>
      <c r="U46" s="76">
        <f>'Soft Cost'!Z35</f>
        <v>2261000</v>
      </c>
      <c r="V46" s="76">
        <f>'Soft Cost'!AA35</f>
        <v>2261000</v>
      </c>
      <c r="W46" s="76">
        <f>'Soft Cost'!AB35</f>
        <v>2261000</v>
      </c>
      <c r="X46" s="76">
        <f>'Soft Cost'!AC35</f>
        <v>2261000</v>
      </c>
      <c r="Y46" s="76">
        <f>'Soft Cost'!AD35</f>
        <v>2261000</v>
      </c>
      <c r="Z46" s="76">
        <f>'Soft Cost'!AE35</f>
        <v>1956000</v>
      </c>
      <c r="AA46" s="76">
        <f>'Soft Cost'!AF35</f>
        <v>1956000</v>
      </c>
      <c r="AB46" s="76">
        <f>'Soft Cost'!AG35</f>
        <v>1956000</v>
      </c>
      <c r="AC46" s="76">
        <f>'Soft Cost'!AH35</f>
        <v>1711000</v>
      </c>
      <c r="AD46" s="76">
        <f>'Soft Cost'!AI35</f>
        <v>1711000</v>
      </c>
      <c r="AE46" s="76">
        <f>'Soft Cost'!AJ35</f>
        <v>733000</v>
      </c>
      <c r="AF46" s="76">
        <f>'Soft Cost'!AK35</f>
        <v>733000</v>
      </c>
      <c r="AG46" s="76">
        <f>'Soft Cost'!AL35</f>
        <v>733000</v>
      </c>
      <c r="AH46" s="76">
        <f>'Soft Cost'!AM35</f>
        <v>489000</v>
      </c>
      <c r="AI46" s="87">
        <f t="shared" si="7"/>
        <v>60519000</v>
      </c>
    </row>
    <row r="47" spans="1:35" x14ac:dyDescent="0.25">
      <c r="A47" s="115" t="s">
        <v>165</v>
      </c>
      <c r="B47" s="76"/>
      <c r="C47" s="76">
        <f>'Soft Cost'!H38*0.5</f>
        <v>150000</v>
      </c>
      <c r="D47" s="76">
        <f>'Soft Cost'!I38+'Hard Cost'!I15</f>
        <v>747250</v>
      </c>
      <c r="E47" s="76">
        <f>'Soft Cost'!J38+'Hard Cost'!J15</f>
        <v>1032900</v>
      </c>
      <c r="F47" s="76">
        <f>'Soft Cost'!K38+'Hard Cost'!K15</f>
        <v>1176500</v>
      </c>
      <c r="G47" s="76">
        <f>'Soft Cost'!L38+'Hard Cost'!L15</f>
        <v>6981193.9453125</v>
      </c>
      <c r="H47" s="76">
        <f>'Soft Cost'!M38+'Hard Cost'!M15</f>
        <v>9049158.59375</v>
      </c>
      <c r="I47" s="76">
        <f>'Soft Cost'!N38+'Hard Cost'!N15</f>
        <v>10077040.91796875</v>
      </c>
      <c r="J47" s="76">
        <f>'Soft Cost'!O38+'Hard Cost'!O15</f>
        <v>10127040.91796875</v>
      </c>
      <c r="K47" s="76">
        <f>'Soft Cost'!P38+'Hard Cost'!P15</f>
        <v>13155696.03515625</v>
      </c>
      <c r="L47" s="76">
        <f>'Soft Cost'!Q38+'Hard Cost'!Q15</f>
        <v>9189174.8828125</v>
      </c>
      <c r="M47" s="76">
        <f>'Soft Cost'!R38+'Hard Cost'!R15</f>
        <v>9089174.8828125</v>
      </c>
      <c r="N47" s="76">
        <f>'Soft Cost'!S38+'Hard Cost'!S15</f>
        <v>9014174.8828125</v>
      </c>
      <c r="O47" s="76">
        <f>'Soft Cost'!T38+'Hard Cost'!T15</f>
        <v>4682637.44140625</v>
      </c>
      <c r="P47" s="76">
        <f>'Soft Cost'!U38+'Hard Cost'!U15</f>
        <v>451100</v>
      </c>
      <c r="Q47" s="76">
        <f>'Soft Cost'!V38+'Hard Cost'!V15</f>
        <v>566100</v>
      </c>
      <c r="R47" s="76">
        <f>'Soft Cost'!W38+'Hard Cost'!W15</f>
        <v>626100</v>
      </c>
      <c r="S47" s="76">
        <f>'Soft Cost'!X38+'Hard Cost'!X15</f>
        <v>3486551.40625</v>
      </c>
      <c r="T47" s="76">
        <f>'Soft Cost'!Y38+'Hard Cost'!Y15</f>
        <v>3486551.40625</v>
      </c>
      <c r="U47" s="76">
        <f>'Soft Cost'!Z38+'Hard Cost'!Z15</f>
        <v>6433583.28125</v>
      </c>
      <c r="V47" s="76">
        <f>'Soft Cost'!AA38+'Hard Cost'!AA15</f>
        <v>8921131.875</v>
      </c>
      <c r="W47" s="76">
        <f>'Soft Cost'!AB38+'Hard Cost'!AB15</f>
        <v>8803631.875</v>
      </c>
      <c r="X47" s="76">
        <f>'Soft Cost'!AC38+'Hard Cost'!AC15</f>
        <v>6094100</v>
      </c>
      <c r="Y47" s="76">
        <f>'Soft Cost'!AD38+'Hard Cost'!AD15</f>
        <v>3787489.53125</v>
      </c>
      <c r="Z47" s="76">
        <f>'Soft Cost'!AE38+'Hard Cost'!AE15</f>
        <v>3671989.53125</v>
      </c>
      <c r="AA47" s="76">
        <f>'Soft Cost'!AF38+'Hard Cost'!AF15</f>
        <v>3781989.53125</v>
      </c>
      <c r="AB47" s="76">
        <f>'Soft Cost'!AG38+'Hard Cost'!AG15</f>
        <v>5913768.854166667</v>
      </c>
      <c r="AC47" s="76">
        <f>'Soft Cost'!AH38+'Hard Cost'!AH15</f>
        <v>5664268.854166667</v>
      </c>
      <c r="AD47" s="76">
        <f>'Soft Cost'!AI38+'Hard Cost'!AI15</f>
        <v>5649268.854166667</v>
      </c>
      <c r="AE47" s="76">
        <f>'Soft Cost'!AJ38+'Hard Cost'!AJ15</f>
        <v>3940296.6666666665</v>
      </c>
      <c r="AF47" s="76">
        <f>'Soft Cost'!AK38+'Hard Cost'!AK15</f>
        <v>3890296.6666666665</v>
      </c>
      <c r="AG47" s="76">
        <f>'Soft Cost'!AL38+'Hard Cost'!AL15</f>
        <v>3840296.6666666665</v>
      </c>
      <c r="AH47" s="76">
        <f>'Soft Cost'!AM38+'Hard Cost'!AM15</f>
        <v>98900</v>
      </c>
      <c r="AI47" s="87">
        <f t="shared" si="7"/>
        <v>163579357.49999994</v>
      </c>
    </row>
    <row r="48" spans="1:35" ht="15.75" thickBot="1" x14ac:dyDescent="0.3">
      <c r="A48" s="63" t="s">
        <v>116</v>
      </c>
      <c r="B48" s="122"/>
      <c r="C48" s="122">
        <f>SUBTOTAL(9,C34:C47)</f>
        <v>1650000</v>
      </c>
      <c r="D48" s="122">
        <f>SUBTOTAL(9,D34:D47)</f>
        <v>8219750</v>
      </c>
      <c r="E48" s="122">
        <f t="shared" ref="E48:AI48" si="9">SUBTOTAL(9,E34:E47)</f>
        <v>11361900</v>
      </c>
      <c r="F48" s="122">
        <f t="shared" si="9"/>
        <v>12941500</v>
      </c>
      <c r="G48" s="122">
        <f t="shared" si="9"/>
        <v>39789369.7265625</v>
      </c>
      <c r="H48" s="122">
        <f t="shared" si="9"/>
        <v>50202392.96875</v>
      </c>
      <c r="I48" s="122">
        <f t="shared" si="9"/>
        <v>55341804.58984375</v>
      </c>
      <c r="J48" s="122">
        <f t="shared" si="9"/>
        <v>55891804.58984375</v>
      </c>
      <c r="K48" s="122">
        <f t="shared" si="9"/>
        <v>69835080.17578125</v>
      </c>
      <c r="L48" s="122">
        <f t="shared" si="9"/>
        <v>50002474.4140625</v>
      </c>
      <c r="M48" s="122">
        <f t="shared" si="9"/>
        <v>48902474.4140625</v>
      </c>
      <c r="N48" s="122">
        <f t="shared" si="9"/>
        <v>48077474.4140625</v>
      </c>
      <c r="O48" s="122">
        <f t="shared" si="9"/>
        <v>25969787.20703125</v>
      </c>
      <c r="P48" s="122">
        <f t="shared" si="9"/>
        <v>4962100</v>
      </c>
      <c r="Q48" s="122">
        <f t="shared" si="9"/>
        <v>6227100</v>
      </c>
      <c r="R48" s="122">
        <f t="shared" si="9"/>
        <v>6887100</v>
      </c>
      <c r="S48" s="122">
        <f t="shared" si="9"/>
        <v>21564357.03125</v>
      </c>
      <c r="T48" s="122">
        <f t="shared" si="9"/>
        <v>21564357.03125</v>
      </c>
      <c r="U48" s="122">
        <f t="shared" si="9"/>
        <v>38024516.40625</v>
      </c>
      <c r="V48" s="122">
        <f t="shared" si="9"/>
        <v>49142259.375</v>
      </c>
      <c r="W48" s="122">
        <f t="shared" si="9"/>
        <v>47849759.375</v>
      </c>
      <c r="X48" s="122">
        <f t="shared" si="9"/>
        <v>34002100</v>
      </c>
      <c r="Y48" s="122">
        <f t="shared" si="9"/>
        <v>22994047.65625</v>
      </c>
      <c r="Z48" s="122">
        <f t="shared" si="9"/>
        <v>21723547.65625</v>
      </c>
      <c r="AA48" s="122">
        <f t="shared" si="9"/>
        <v>22933547.65625</v>
      </c>
      <c r="AB48" s="122">
        <f t="shared" si="9"/>
        <v>34132444.270833336</v>
      </c>
      <c r="AC48" s="122">
        <f t="shared" si="9"/>
        <v>31387944.270833336</v>
      </c>
      <c r="AD48" s="122">
        <f t="shared" si="9"/>
        <v>31222944.270833336</v>
      </c>
      <c r="AE48" s="122">
        <f t="shared" si="9"/>
        <v>21341283.333333332</v>
      </c>
      <c r="AF48" s="122">
        <f t="shared" si="9"/>
        <v>20791283.333333332</v>
      </c>
      <c r="AG48" s="122">
        <f t="shared" si="9"/>
        <v>20241283.333333332</v>
      </c>
      <c r="AH48" s="122">
        <f t="shared" si="9"/>
        <v>1087900</v>
      </c>
      <c r="AI48" s="122">
        <f t="shared" si="9"/>
        <v>936265687.5</v>
      </c>
    </row>
    <row r="49" spans="1:35" ht="15.75" thickTop="1" x14ac:dyDescent="0.25">
      <c r="A49" s="113"/>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87"/>
    </row>
    <row r="50" spans="1:35" x14ac:dyDescent="0.25">
      <c r="A50" s="74" t="s">
        <v>166</v>
      </c>
      <c r="B50" s="76">
        <f>B31+B48</f>
        <v>3043150</v>
      </c>
      <c r="C50" s="76">
        <f>C31+C48</f>
        <v>3300000</v>
      </c>
      <c r="D50" s="76">
        <f t="shared" ref="D50:AH50" si="10">D31+D48</f>
        <v>8219750</v>
      </c>
      <c r="E50" s="76">
        <f t="shared" si="10"/>
        <v>11361900</v>
      </c>
      <c r="F50" s="76">
        <f t="shared" si="10"/>
        <v>12941500</v>
      </c>
      <c r="G50" s="76">
        <f t="shared" si="10"/>
        <v>39789369.7265625</v>
      </c>
      <c r="H50" s="76">
        <f t="shared" si="10"/>
        <v>50202392.96875</v>
      </c>
      <c r="I50" s="76">
        <f t="shared" si="10"/>
        <v>55341804.58984375</v>
      </c>
      <c r="J50" s="76">
        <f t="shared" si="10"/>
        <v>55891804.58984375</v>
      </c>
      <c r="K50" s="76">
        <f t="shared" si="10"/>
        <v>69835080.17578125</v>
      </c>
      <c r="L50" s="76">
        <f t="shared" si="10"/>
        <v>50002474.4140625</v>
      </c>
      <c r="M50" s="76">
        <f t="shared" si="10"/>
        <v>48902474.4140625</v>
      </c>
      <c r="N50" s="76">
        <f t="shared" si="10"/>
        <v>48077474.4140625</v>
      </c>
      <c r="O50" s="76">
        <f t="shared" si="10"/>
        <v>25969787.20703125</v>
      </c>
      <c r="P50" s="76">
        <f t="shared" si="10"/>
        <v>4962100</v>
      </c>
      <c r="Q50" s="76">
        <f t="shared" si="10"/>
        <v>6227100</v>
      </c>
      <c r="R50" s="76">
        <f t="shared" si="10"/>
        <v>6887100</v>
      </c>
      <c r="S50" s="76">
        <f t="shared" si="10"/>
        <v>21564357.03125</v>
      </c>
      <c r="T50" s="76">
        <f t="shared" si="10"/>
        <v>21564357.03125</v>
      </c>
      <c r="U50" s="76">
        <f t="shared" si="10"/>
        <v>38024516.40625</v>
      </c>
      <c r="V50" s="76">
        <f t="shared" si="10"/>
        <v>49142259.375</v>
      </c>
      <c r="W50" s="76">
        <f t="shared" si="10"/>
        <v>47849759.375</v>
      </c>
      <c r="X50" s="76">
        <f t="shared" si="10"/>
        <v>34002100</v>
      </c>
      <c r="Y50" s="76">
        <f t="shared" si="10"/>
        <v>22994047.65625</v>
      </c>
      <c r="Z50" s="76">
        <f t="shared" si="10"/>
        <v>21723547.65625</v>
      </c>
      <c r="AA50" s="76">
        <f t="shared" si="10"/>
        <v>22933547.65625</v>
      </c>
      <c r="AB50" s="76">
        <f t="shared" si="10"/>
        <v>34132444.270833336</v>
      </c>
      <c r="AC50" s="76">
        <f t="shared" si="10"/>
        <v>31387944.270833336</v>
      </c>
      <c r="AD50" s="76">
        <f t="shared" si="10"/>
        <v>31222944.270833336</v>
      </c>
      <c r="AE50" s="76">
        <f t="shared" si="10"/>
        <v>21341283.333333332</v>
      </c>
      <c r="AF50" s="76">
        <f t="shared" si="10"/>
        <v>20791283.333333332</v>
      </c>
      <c r="AG50" s="76">
        <f t="shared" si="10"/>
        <v>20241283.333333332</v>
      </c>
      <c r="AH50" s="76">
        <f t="shared" si="10"/>
        <v>1087900</v>
      </c>
      <c r="AI50" s="87">
        <f>SUM(B50:AH50)</f>
        <v>940958837.50000024</v>
      </c>
    </row>
    <row r="51" spans="1:35" x14ac:dyDescent="0.25">
      <c r="A51" s="113" t="s">
        <v>167</v>
      </c>
      <c r="B51" s="76">
        <f>B10</f>
        <v>3043150</v>
      </c>
      <c r="C51" s="76">
        <f t="shared" ref="C51:AH51" si="11">C10</f>
        <v>3300000</v>
      </c>
      <c r="D51" s="76">
        <f t="shared" si="11"/>
        <v>8219750</v>
      </c>
      <c r="E51" s="76">
        <f t="shared" si="11"/>
        <v>11361900</v>
      </c>
      <c r="F51" s="76">
        <f t="shared" si="11"/>
        <v>12941500</v>
      </c>
      <c r="G51" s="76">
        <f t="shared" si="11"/>
        <v>39789369.7265625</v>
      </c>
      <c r="H51" s="76">
        <f t="shared" si="11"/>
        <v>50202392.96875</v>
      </c>
      <c r="I51" s="76">
        <f t="shared" si="11"/>
        <v>55341804.58984375</v>
      </c>
      <c r="J51" s="76">
        <f t="shared" si="11"/>
        <v>55891804.58984375</v>
      </c>
      <c r="K51" s="76">
        <f t="shared" si="11"/>
        <v>64030648.73046875</v>
      </c>
      <c r="L51" s="76">
        <f t="shared" si="11"/>
        <v>38393611.5234375</v>
      </c>
      <c r="M51" s="76">
        <f t="shared" si="11"/>
        <v>37293611.5234375</v>
      </c>
      <c r="N51" s="76">
        <f t="shared" si="11"/>
        <v>36468611.5234375</v>
      </c>
      <c r="O51" s="76">
        <f t="shared" si="11"/>
        <v>20165355.76171875</v>
      </c>
      <c r="P51" s="76">
        <f t="shared" si="11"/>
        <v>4962100</v>
      </c>
      <c r="Q51" s="76">
        <f t="shared" si="11"/>
        <v>6227100</v>
      </c>
      <c r="R51" s="76">
        <f t="shared" si="11"/>
        <v>6887100</v>
      </c>
      <c r="S51" s="76">
        <f t="shared" si="11"/>
        <v>21564357.03125</v>
      </c>
      <c r="T51" s="76">
        <f t="shared" si="11"/>
        <v>21564357.03125</v>
      </c>
      <c r="U51" s="76">
        <f t="shared" si="11"/>
        <v>38024516.40625</v>
      </c>
      <c r="V51" s="76">
        <f t="shared" si="11"/>
        <v>45664305.729166672</v>
      </c>
      <c r="W51" s="76">
        <f t="shared" si="11"/>
        <v>44371805.729166672</v>
      </c>
      <c r="X51" s="76">
        <f t="shared" si="11"/>
        <v>30524146.354166664</v>
      </c>
      <c r="Y51" s="76">
        <f t="shared" si="11"/>
        <v>22994047.65625</v>
      </c>
      <c r="Z51" s="76">
        <f t="shared" si="11"/>
        <v>21723547.65625</v>
      </c>
      <c r="AA51" s="76">
        <f t="shared" si="11"/>
        <v>22933547.65625</v>
      </c>
      <c r="AB51" s="76">
        <f t="shared" si="11"/>
        <v>34132444.270833336</v>
      </c>
      <c r="AC51" s="76">
        <f t="shared" si="11"/>
        <v>31387944.270833336</v>
      </c>
      <c r="AD51" s="76">
        <f t="shared" si="11"/>
        <v>31222944.270833336</v>
      </c>
      <c r="AE51" s="76">
        <f t="shared" si="11"/>
        <v>21341283.333333332</v>
      </c>
      <c r="AF51" s="76">
        <f t="shared" si="11"/>
        <v>20791283.333333332</v>
      </c>
      <c r="AG51" s="76">
        <f t="shared" si="11"/>
        <v>20241283.333333332</v>
      </c>
      <c r="AH51" s="76">
        <f t="shared" si="11"/>
        <v>1087900</v>
      </c>
      <c r="AI51" s="87">
        <f>SUM(B51:AH51)</f>
        <v>884089525.00000012</v>
      </c>
    </row>
    <row r="52" spans="1:35" x14ac:dyDescent="0.25">
      <c r="A52" s="113" t="s">
        <v>168</v>
      </c>
      <c r="B52" s="117"/>
      <c r="C52" s="117"/>
      <c r="D52" s="76">
        <f t="shared" ref="D52:AH52" si="12">D11</f>
        <v>2465925</v>
      </c>
      <c r="E52" s="76">
        <f t="shared" si="12"/>
        <v>3408570</v>
      </c>
      <c r="F52" s="76">
        <f t="shared" si="12"/>
        <v>3882450</v>
      </c>
      <c r="G52" s="76">
        <f t="shared" si="12"/>
        <v>11936810.91796875</v>
      </c>
      <c r="H52" s="76">
        <f t="shared" si="12"/>
        <v>15060717.890625</v>
      </c>
      <c r="I52" s="76">
        <f t="shared" si="12"/>
        <v>16602541.376953125</v>
      </c>
      <c r="J52" s="76">
        <f t="shared" si="12"/>
        <v>16767541.376953125</v>
      </c>
      <c r="K52" s="76">
        <f t="shared" si="12"/>
        <v>19209194.619140625</v>
      </c>
      <c r="L52" s="76">
        <f t="shared" si="12"/>
        <v>11518083.45703125</v>
      </c>
      <c r="M52" s="76">
        <f t="shared" si="12"/>
        <v>11188083.45703125</v>
      </c>
      <c r="N52" s="76">
        <f t="shared" si="12"/>
        <v>10940583.45703125</v>
      </c>
      <c r="O52" s="76">
        <f t="shared" si="12"/>
        <v>6049606.728515625</v>
      </c>
      <c r="P52" s="76">
        <f t="shared" si="12"/>
        <v>1488630</v>
      </c>
      <c r="Q52" s="76">
        <f t="shared" si="12"/>
        <v>1868130</v>
      </c>
      <c r="R52" s="76">
        <f t="shared" si="12"/>
        <v>2066130</v>
      </c>
      <c r="S52" s="76">
        <f t="shared" si="12"/>
        <v>6469307.109375</v>
      </c>
      <c r="T52" s="76">
        <f t="shared" si="12"/>
        <v>6469307.109375</v>
      </c>
      <c r="U52" s="76">
        <f t="shared" si="12"/>
        <v>11407354.921875</v>
      </c>
      <c r="V52" s="76">
        <f t="shared" si="12"/>
        <v>13699291.718750002</v>
      </c>
      <c r="W52" s="76">
        <f t="shared" si="12"/>
        <v>13311541.718750002</v>
      </c>
      <c r="X52" s="76">
        <f t="shared" si="12"/>
        <v>9157243.9062499981</v>
      </c>
      <c r="Y52" s="76">
        <f t="shared" si="12"/>
        <v>6898214.296875</v>
      </c>
      <c r="Z52" s="76">
        <f t="shared" si="12"/>
        <v>6517064.296875</v>
      </c>
      <c r="AA52" s="76">
        <f t="shared" si="12"/>
        <v>6880064.296875</v>
      </c>
      <c r="AB52" s="76">
        <f t="shared" si="12"/>
        <v>10239733.28125</v>
      </c>
      <c r="AC52" s="76">
        <f t="shared" si="12"/>
        <v>9416383.28125</v>
      </c>
      <c r="AD52" s="76">
        <f t="shared" si="12"/>
        <v>9366883.28125</v>
      </c>
      <c r="AE52" s="76">
        <f t="shared" si="12"/>
        <v>6402384.9999999991</v>
      </c>
      <c r="AF52" s="76">
        <f t="shared" si="12"/>
        <v>6237384.9999999991</v>
      </c>
      <c r="AG52" s="76">
        <f t="shared" si="12"/>
        <v>6072384.9999999991</v>
      </c>
      <c r="AH52" s="76">
        <f t="shared" si="12"/>
        <v>326370</v>
      </c>
      <c r="AI52" s="87">
        <f>SUM(B52:AH52)</f>
        <v>263323912.5</v>
      </c>
    </row>
    <row r="53" spans="1:35" ht="15.75" thickBot="1" x14ac:dyDescent="0.3">
      <c r="A53" s="63" t="s">
        <v>156</v>
      </c>
      <c r="B53" s="122">
        <f>SUM(B50,B52)</f>
        <v>3043150</v>
      </c>
      <c r="C53" s="122">
        <f t="shared" ref="C53:AH53" si="13">SUM(C50,C52)</f>
        <v>3300000</v>
      </c>
      <c r="D53" s="122">
        <f t="shared" si="13"/>
        <v>10685675</v>
      </c>
      <c r="E53" s="122">
        <f t="shared" si="13"/>
        <v>14770470</v>
      </c>
      <c r="F53" s="122">
        <f t="shared" si="13"/>
        <v>16823950</v>
      </c>
      <c r="G53" s="122">
        <f t="shared" si="13"/>
        <v>51726180.64453125</v>
      </c>
      <c r="H53" s="122">
        <f t="shared" si="13"/>
        <v>65263110.859375</v>
      </c>
      <c r="I53" s="122">
        <f t="shared" si="13"/>
        <v>71944345.966796875</v>
      </c>
      <c r="J53" s="122">
        <f t="shared" si="13"/>
        <v>72659345.966796875</v>
      </c>
      <c r="K53" s="122">
        <f t="shared" si="13"/>
        <v>89044274.794921875</v>
      </c>
      <c r="L53" s="122">
        <f t="shared" si="13"/>
        <v>61520557.87109375</v>
      </c>
      <c r="M53" s="122">
        <f t="shared" si="13"/>
        <v>60090557.87109375</v>
      </c>
      <c r="N53" s="122">
        <f t="shared" si="13"/>
        <v>59018057.87109375</v>
      </c>
      <c r="O53" s="122">
        <f t="shared" si="13"/>
        <v>32019393.935546875</v>
      </c>
      <c r="P53" s="122">
        <f t="shared" si="13"/>
        <v>6450730</v>
      </c>
      <c r="Q53" s="122">
        <f t="shared" si="13"/>
        <v>8095230</v>
      </c>
      <c r="R53" s="122">
        <f t="shared" si="13"/>
        <v>8953230</v>
      </c>
      <c r="S53" s="122">
        <f t="shared" si="13"/>
        <v>28033664.140625</v>
      </c>
      <c r="T53" s="122">
        <f t="shared" si="13"/>
        <v>28033664.140625</v>
      </c>
      <c r="U53" s="122">
        <f t="shared" si="13"/>
        <v>49431871.328125</v>
      </c>
      <c r="V53" s="122">
        <f t="shared" si="13"/>
        <v>62841551.09375</v>
      </c>
      <c r="W53" s="122">
        <f t="shared" si="13"/>
        <v>61161301.09375</v>
      </c>
      <c r="X53" s="122">
        <f t="shared" si="13"/>
        <v>43159343.90625</v>
      </c>
      <c r="Y53" s="122">
        <f t="shared" si="13"/>
        <v>29892261.953125</v>
      </c>
      <c r="Z53" s="122">
        <f t="shared" si="13"/>
        <v>28240611.953125</v>
      </c>
      <c r="AA53" s="122">
        <f t="shared" si="13"/>
        <v>29813611.953125</v>
      </c>
      <c r="AB53" s="122">
        <f t="shared" si="13"/>
        <v>44372177.552083336</v>
      </c>
      <c r="AC53" s="122">
        <f t="shared" si="13"/>
        <v>40804327.552083336</v>
      </c>
      <c r="AD53" s="122">
        <f t="shared" si="13"/>
        <v>40589827.552083336</v>
      </c>
      <c r="AE53" s="122">
        <f t="shared" si="13"/>
        <v>27743668.333333332</v>
      </c>
      <c r="AF53" s="122">
        <f t="shared" si="13"/>
        <v>27028668.333333332</v>
      </c>
      <c r="AG53" s="122">
        <f t="shared" si="13"/>
        <v>26313668.333333332</v>
      </c>
      <c r="AH53" s="122">
        <f t="shared" si="13"/>
        <v>1414270</v>
      </c>
      <c r="AI53" s="122">
        <f>SUM(B53:AH53)</f>
        <v>1204282749.9999998</v>
      </c>
    </row>
    <row r="54" spans="1:35" ht="15.75" thickTop="1" x14ac:dyDescent="0.25">
      <c r="A54" s="113"/>
      <c r="B54" s="76">
        <f>B12-B53</f>
        <v>912945</v>
      </c>
      <c r="C54" s="76">
        <f t="shared" ref="C54:AH54" si="14">C12-C53</f>
        <v>990000</v>
      </c>
      <c r="D54" s="76">
        <f t="shared" si="14"/>
        <v>0</v>
      </c>
      <c r="E54" s="76">
        <f t="shared" si="14"/>
        <v>0</v>
      </c>
      <c r="F54" s="76">
        <f t="shared" si="14"/>
        <v>0</v>
      </c>
      <c r="G54" s="76">
        <f t="shared" si="14"/>
        <v>0</v>
      </c>
      <c r="H54" s="76">
        <f t="shared" si="14"/>
        <v>0</v>
      </c>
      <c r="I54" s="76">
        <f t="shared" si="14"/>
        <v>0</v>
      </c>
      <c r="J54" s="76">
        <f t="shared" si="14"/>
        <v>0</v>
      </c>
      <c r="K54" s="76">
        <f t="shared" si="14"/>
        <v>-5804431.4453125</v>
      </c>
      <c r="L54" s="76">
        <f t="shared" si="14"/>
        <v>-11608862.890625</v>
      </c>
      <c r="M54" s="76">
        <f t="shared" si="14"/>
        <v>-11608862.890625</v>
      </c>
      <c r="N54" s="76">
        <f t="shared" si="14"/>
        <v>-11608862.890625</v>
      </c>
      <c r="O54" s="76">
        <f t="shared" si="14"/>
        <v>-5804431.4453125</v>
      </c>
      <c r="P54" s="76">
        <f t="shared" si="14"/>
        <v>0</v>
      </c>
      <c r="Q54" s="76">
        <f t="shared" si="14"/>
        <v>0</v>
      </c>
      <c r="R54" s="76">
        <f t="shared" si="14"/>
        <v>0</v>
      </c>
      <c r="S54" s="76">
        <f t="shared" si="14"/>
        <v>0</v>
      </c>
      <c r="T54" s="76">
        <f t="shared" si="14"/>
        <v>0</v>
      </c>
      <c r="U54" s="76">
        <f t="shared" si="14"/>
        <v>0</v>
      </c>
      <c r="V54" s="76">
        <f t="shared" si="14"/>
        <v>-3477953.6458333284</v>
      </c>
      <c r="W54" s="76">
        <f t="shared" si="14"/>
        <v>-3477953.6458333284</v>
      </c>
      <c r="X54" s="76">
        <f t="shared" si="14"/>
        <v>-3477953.6458333358</v>
      </c>
      <c r="Y54" s="76">
        <f t="shared" si="14"/>
        <v>0</v>
      </c>
      <c r="Z54" s="76">
        <f t="shared" si="14"/>
        <v>0</v>
      </c>
      <c r="AA54" s="76">
        <f t="shared" si="14"/>
        <v>0</v>
      </c>
      <c r="AB54" s="76">
        <f t="shared" si="14"/>
        <v>0</v>
      </c>
      <c r="AC54" s="76">
        <f t="shared" si="14"/>
        <v>0</v>
      </c>
      <c r="AD54" s="76">
        <f t="shared" si="14"/>
        <v>0</v>
      </c>
      <c r="AE54" s="76">
        <f t="shared" si="14"/>
        <v>0</v>
      </c>
      <c r="AF54" s="76">
        <f t="shared" si="14"/>
        <v>0</v>
      </c>
      <c r="AG54" s="76">
        <f t="shared" si="14"/>
        <v>0</v>
      </c>
      <c r="AH54" s="76">
        <f t="shared" si="14"/>
        <v>0</v>
      </c>
      <c r="AI54" s="87"/>
    </row>
    <row r="55" spans="1:35" x14ac:dyDescent="0.25">
      <c r="B55" s="76"/>
      <c r="C55" s="76"/>
      <c r="D55" s="76"/>
      <c r="E55" s="76"/>
      <c r="F55" s="76"/>
      <c r="G55" s="76"/>
      <c r="H55" s="76"/>
      <c r="I55" s="76"/>
      <c r="J55" s="76"/>
      <c r="K55" s="76"/>
      <c r="L55" s="76"/>
      <c r="M55" s="76"/>
      <c r="N55" s="76"/>
      <c r="O55" s="76"/>
      <c r="P55" s="76"/>
      <c r="Q55" s="76"/>
      <c r="R55" s="76"/>
      <c r="S55" s="76"/>
      <c r="T55" s="76"/>
      <c r="U55" s="76"/>
      <c r="V55" s="76"/>
      <c r="AI55" s="87"/>
    </row>
    <row r="56" spans="1:35" x14ac:dyDescent="0.25">
      <c r="A56" s="74" t="s">
        <v>169</v>
      </c>
      <c r="B56" s="76"/>
      <c r="C56" s="76"/>
      <c r="D56" s="76"/>
      <c r="E56" s="76"/>
      <c r="F56" s="76"/>
      <c r="G56" s="76"/>
      <c r="H56" s="76"/>
      <c r="I56" s="76"/>
      <c r="J56" s="76"/>
      <c r="K56" s="76"/>
      <c r="L56" s="76"/>
      <c r="M56" s="76"/>
      <c r="N56" s="76"/>
      <c r="O56" s="76"/>
      <c r="P56" s="76"/>
      <c r="Q56" s="76"/>
      <c r="R56" s="76"/>
      <c r="S56" s="76"/>
      <c r="T56" s="76"/>
      <c r="U56" s="76"/>
      <c r="V56" s="76"/>
      <c r="AI56" s="87"/>
    </row>
    <row r="57" spans="1:35" x14ac:dyDescent="0.25">
      <c r="A57" s="74" t="s">
        <v>170</v>
      </c>
      <c r="B57" s="90"/>
      <c r="C57" s="76"/>
      <c r="D57" s="76"/>
      <c r="E57" s="76"/>
      <c r="F57" s="76"/>
      <c r="G57" s="76"/>
      <c r="H57" s="76"/>
      <c r="I57" s="76"/>
      <c r="J57" s="76"/>
      <c r="K57" s="76"/>
      <c r="L57" s="76"/>
      <c r="M57" s="76"/>
      <c r="N57" s="76"/>
      <c r="O57" s="76"/>
      <c r="P57" s="76"/>
      <c r="Q57" s="76"/>
      <c r="R57" s="76"/>
      <c r="S57" s="76"/>
      <c r="T57" s="76"/>
      <c r="U57" s="76"/>
      <c r="V57" s="76"/>
      <c r="AI57" s="87"/>
    </row>
    <row r="58" spans="1:35" x14ac:dyDescent="0.25">
      <c r="B58" s="76"/>
      <c r="C58" s="76"/>
      <c r="D58" s="76"/>
      <c r="E58" s="76"/>
      <c r="F58" s="76"/>
      <c r="G58" s="76"/>
      <c r="H58" s="76"/>
      <c r="I58" s="76"/>
      <c r="J58" s="76"/>
      <c r="K58" s="76"/>
      <c r="L58" s="76"/>
      <c r="M58" s="76"/>
      <c r="N58" s="76"/>
      <c r="O58" s="76"/>
      <c r="P58" s="76"/>
      <c r="Q58" s="76"/>
      <c r="R58" s="76"/>
      <c r="S58" s="76"/>
      <c r="T58" s="76"/>
      <c r="U58" s="76"/>
      <c r="V58" s="76"/>
      <c r="AI58" s="87"/>
    </row>
    <row r="59" spans="1:35" x14ac:dyDescent="0.25">
      <c r="B59" s="76"/>
      <c r="C59" s="76"/>
      <c r="D59" s="76"/>
      <c r="E59" s="76"/>
      <c r="F59" s="76"/>
      <c r="G59" s="76"/>
      <c r="H59" s="76"/>
      <c r="I59" s="76"/>
      <c r="J59" s="76"/>
      <c r="K59" s="76"/>
      <c r="L59" s="76"/>
      <c r="M59" s="76"/>
      <c r="N59" s="76"/>
      <c r="O59" s="76"/>
      <c r="P59" s="76"/>
      <c r="Q59" s="76"/>
      <c r="R59" s="76"/>
      <c r="S59" s="76"/>
      <c r="T59" s="76"/>
      <c r="U59" s="76"/>
      <c r="V59" s="76"/>
      <c r="AI59" s="87"/>
    </row>
  </sheetData>
  <pageMargins left="0.7" right="0.7" top="0.75" bottom="0.75" header="0.3" footer="0.3"/>
  <pageSetup paperSize="9" orientation="portrait" horizontalDpi="200" verticalDpi="200" copies="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E0108-0A5F-47F0-A830-9E4407B4820A}">
  <dimension ref="B2:L49"/>
  <sheetViews>
    <sheetView workbookViewId="0"/>
  </sheetViews>
  <sheetFormatPr defaultRowHeight="15" x14ac:dyDescent="0.25"/>
  <cols>
    <col min="2" max="2" width="36" customWidth="1"/>
    <col min="3" max="4" width="10.7109375" bestFit="1" customWidth="1"/>
    <col min="5" max="6" width="12.42578125" bestFit="1" customWidth="1"/>
    <col min="7" max="7" width="15.85546875" customWidth="1"/>
    <col min="8" max="8" width="12.42578125" bestFit="1" customWidth="1"/>
  </cols>
  <sheetData>
    <row r="2" spans="2:8" ht="21.75" thickBot="1" x14ac:dyDescent="0.4">
      <c r="B2" s="1" t="s">
        <v>171</v>
      </c>
      <c r="C2" s="1"/>
      <c r="D2" s="1"/>
      <c r="E2" s="1"/>
      <c r="F2" s="1"/>
      <c r="G2" s="1"/>
      <c r="H2" s="1"/>
    </row>
    <row r="3" spans="2:8" ht="15.75" thickTop="1" x14ac:dyDescent="0.25"/>
    <row r="4" spans="2:8" x14ac:dyDescent="0.25">
      <c r="B4" s="2"/>
      <c r="C4" s="2">
        <v>2025</v>
      </c>
      <c r="D4" s="2">
        <v>2026</v>
      </c>
      <c r="E4" s="2">
        <v>2027</v>
      </c>
      <c r="F4" s="2">
        <v>2028</v>
      </c>
      <c r="G4" s="2">
        <v>2029</v>
      </c>
      <c r="H4" s="2">
        <v>2030</v>
      </c>
    </row>
    <row r="5" spans="2:8" x14ac:dyDescent="0.25">
      <c r="B5" t="s">
        <v>172</v>
      </c>
      <c r="C5" s="132">
        <v>0.03</v>
      </c>
      <c r="D5" s="132">
        <v>0.03</v>
      </c>
      <c r="E5" s="132">
        <v>0.03</v>
      </c>
      <c r="F5" s="132">
        <v>0.03</v>
      </c>
      <c r="G5" s="132">
        <v>0.03</v>
      </c>
      <c r="H5" s="132">
        <v>0.03</v>
      </c>
    </row>
    <row r="6" spans="2:8" x14ac:dyDescent="0.25">
      <c r="B6" t="s">
        <v>173</v>
      </c>
      <c r="C6" s="131">
        <f>1*(1+C5)</f>
        <v>1.03</v>
      </c>
      <c r="D6" s="130">
        <f>C6*(1+D5)</f>
        <v>1.0609</v>
      </c>
      <c r="E6" s="130">
        <f t="shared" ref="E6:H6" si="0">D6*(1+E5)</f>
        <v>1.092727</v>
      </c>
      <c r="F6" s="130">
        <f t="shared" si="0"/>
        <v>1.1255088100000001</v>
      </c>
      <c r="G6" s="130">
        <f t="shared" si="0"/>
        <v>1.1592740743000001</v>
      </c>
      <c r="H6" s="130">
        <f t="shared" si="0"/>
        <v>1.1940522965290001</v>
      </c>
    </row>
    <row r="7" spans="2:8" x14ac:dyDescent="0.25">
      <c r="B7" t="s">
        <v>174</v>
      </c>
      <c r="C7" s="132">
        <v>3.5000000000000003E-2</v>
      </c>
      <c r="D7" s="132">
        <v>3.5000000000000003E-2</v>
      </c>
      <c r="E7" s="132">
        <v>3.5000000000000003E-2</v>
      </c>
      <c r="F7" s="132">
        <v>3.5000000000000003E-2</v>
      </c>
      <c r="G7" s="132">
        <v>3.5000000000000003E-2</v>
      </c>
      <c r="H7" s="132">
        <v>3.5000000000000003E-2</v>
      </c>
    </row>
    <row r="8" spans="2:8" x14ac:dyDescent="0.25">
      <c r="B8" t="s">
        <v>175</v>
      </c>
      <c r="C8" s="131">
        <f>1*(1+C7)</f>
        <v>1.0349999999999999</v>
      </c>
      <c r="D8" s="130">
        <f>C8*(1+D7)</f>
        <v>1.0712249999999999</v>
      </c>
      <c r="E8" s="130">
        <f t="shared" ref="E8" si="1">D8*(1+E7)</f>
        <v>1.1087178749999997</v>
      </c>
      <c r="F8" s="130">
        <f t="shared" ref="F8" si="2">E8*(1+F7)</f>
        <v>1.1475230006249997</v>
      </c>
      <c r="G8" s="130">
        <f t="shared" ref="G8" si="3">F8*(1+G7)</f>
        <v>1.1876863056468745</v>
      </c>
      <c r="H8" s="130">
        <f t="shared" ref="H8" si="4">G8*(1+H7)</f>
        <v>1.229255326344515</v>
      </c>
    </row>
    <row r="10" spans="2:8" ht="19.5" thickBot="1" x14ac:dyDescent="0.35">
      <c r="B10" s="36" t="s">
        <v>158</v>
      </c>
      <c r="C10" s="36"/>
      <c r="D10" s="36"/>
      <c r="E10" s="36"/>
    </row>
    <row r="12" spans="2:8" x14ac:dyDescent="0.25">
      <c r="B12" s="115" t="s">
        <v>159</v>
      </c>
    </row>
    <row r="13" spans="2:8" x14ac:dyDescent="0.25">
      <c r="B13" s="116" t="s">
        <v>137</v>
      </c>
      <c r="C13" s="69">
        <f>ROUND('Total Cash Flow'!B17*'Export for Budget (inflated)'!C$8,-3)</f>
        <v>776000</v>
      </c>
      <c r="D13" s="69">
        <f>ROUND('Total Cash Flow'!C17*'Export for Budget (inflated)'!D$8,-3)</f>
        <v>469000</v>
      </c>
    </row>
    <row r="14" spans="2:8" x14ac:dyDescent="0.25">
      <c r="B14" s="116" t="s">
        <v>138</v>
      </c>
      <c r="C14" s="4">
        <f>ROUND('Total Cash Flow'!B18*'Export for Budget (inflated)'!C$8,-3)</f>
        <v>776000</v>
      </c>
      <c r="D14" s="4">
        <f>ROUND('Total Cash Flow'!C18*'Export for Budget (inflated)'!D$8,-3)</f>
        <v>402000</v>
      </c>
    </row>
    <row r="15" spans="2:8" x14ac:dyDescent="0.25">
      <c r="B15" s="116" t="s">
        <v>139</v>
      </c>
      <c r="C15" s="4">
        <f>ROUND('Total Cash Flow'!B19*'Export for Budget (inflated)'!C$8,-3)</f>
        <v>259000</v>
      </c>
      <c r="D15" s="4">
        <f>ROUND('Total Cash Flow'!C19*'Export for Budget (inflated)'!D$8,-3)</f>
        <v>134000</v>
      </c>
    </row>
    <row r="16" spans="2:8" x14ac:dyDescent="0.25">
      <c r="B16" s="116" t="s">
        <v>33</v>
      </c>
      <c r="C16" s="4">
        <f>ROUND('Total Cash Flow'!B20*'Export for Budget (inflated)'!C$8,-3)</f>
        <v>52000</v>
      </c>
      <c r="D16" s="4">
        <f>ROUND('Total Cash Flow'!C20*'Export for Budget (inflated)'!D$8,-3)</f>
        <v>27000</v>
      </c>
    </row>
    <row r="17" spans="2:12" x14ac:dyDescent="0.25">
      <c r="B17" s="116" t="s">
        <v>34</v>
      </c>
      <c r="C17" s="4">
        <f>ROUND('Total Cash Flow'!B21*'Export for Budget (inflated)'!C$8,-3)</f>
        <v>52000</v>
      </c>
      <c r="D17" s="4">
        <f>ROUND('Total Cash Flow'!C21*'Export for Budget (inflated)'!D$8,-3)</f>
        <v>27000</v>
      </c>
    </row>
    <row r="18" spans="2:12" x14ac:dyDescent="0.25">
      <c r="B18" s="116" t="s">
        <v>123</v>
      </c>
      <c r="C18" s="4">
        <f>ROUND('Total Cash Flow'!B22*'Export for Budget (inflated)'!C$8,-3)</f>
        <v>52000</v>
      </c>
      <c r="D18" s="4">
        <f>ROUND('Total Cash Flow'!C22*'Export for Budget (inflated)'!D$8,-3)</f>
        <v>27000</v>
      </c>
    </row>
    <row r="19" spans="2:12" x14ac:dyDescent="0.25">
      <c r="B19" s="116" t="s">
        <v>36</v>
      </c>
      <c r="C19" s="4">
        <f>ROUND('Total Cash Flow'!B23*'Export for Budget (inflated)'!C$8,-3)</f>
        <v>52000</v>
      </c>
      <c r="D19" s="4">
        <f>ROUND('Total Cash Flow'!C23*'Export for Budget (inflated)'!D$8,-3)</f>
        <v>27000</v>
      </c>
    </row>
    <row r="20" spans="2:12" x14ac:dyDescent="0.25">
      <c r="B20" s="116" t="s">
        <v>37</v>
      </c>
      <c r="C20" s="4">
        <f>ROUND('Total Cash Flow'!B24*'Export for Budget (inflated)'!C$8,-3)</f>
        <v>52000</v>
      </c>
      <c r="D20" s="4">
        <f>ROUND('Total Cash Flow'!C24*'Export for Budget (inflated)'!D$8,-3)</f>
        <v>27000</v>
      </c>
    </row>
    <row r="21" spans="2:12" x14ac:dyDescent="0.25">
      <c r="B21" s="116" t="s">
        <v>38</v>
      </c>
      <c r="C21" s="4">
        <f>ROUND('Total Cash Flow'!B25*'Export for Budget (inflated)'!C$8,-3)</f>
        <v>52000</v>
      </c>
      <c r="D21" s="4">
        <f>ROUND('Total Cash Flow'!C25*'Export for Budget (inflated)'!D$8,-3)</f>
        <v>27000</v>
      </c>
    </row>
    <row r="22" spans="2:12" x14ac:dyDescent="0.25">
      <c r="B22" s="116" t="s">
        <v>126</v>
      </c>
      <c r="C22" s="133">
        <f>ROUND('Total Cash Flow'!B26*'Export for Budget (inflated)'!C$8,-3)</f>
        <v>52000</v>
      </c>
      <c r="D22" s="133">
        <f>ROUND('Total Cash Flow'!C26*'Export for Budget (inflated)'!D$8,-3)</f>
        <v>27000</v>
      </c>
    </row>
    <row r="23" spans="2:12" x14ac:dyDescent="0.25">
      <c r="B23" s="118" t="s">
        <v>160</v>
      </c>
      <c r="C23" s="69">
        <f>SUBTOTAL(9,C13:C22)</f>
        <v>2175000</v>
      </c>
      <c r="D23" s="69">
        <f t="shared" ref="D23" si="5">SUBTOTAL(9,D13:D22)</f>
        <v>1194000</v>
      </c>
    </row>
    <row r="24" spans="2:12" x14ac:dyDescent="0.25">
      <c r="B24" s="116"/>
    </row>
    <row r="25" spans="2:12" x14ac:dyDescent="0.25">
      <c r="B25" s="115" t="s">
        <v>161</v>
      </c>
      <c r="C25" s="69">
        <f>ROUND('Total Cash Flow'!B29*C$8,-3)</f>
        <v>690000</v>
      </c>
      <c r="D25" s="69">
        <f>ROUND('Total Cash Flow'!C29*D8,-3)</f>
        <v>415000</v>
      </c>
    </row>
    <row r="26" spans="2:12" x14ac:dyDescent="0.25">
      <c r="B26" s="115" t="s">
        <v>162</v>
      </c>
      <c r="C26" s="4">
        <f>ROUND('Total Cash Flow'!B30*C8,-3)</f>
        <v>286000</v>
      </c>
      <c r="D26" s="4">
        <f>ROUND('Total Cash Flow'!C30*D8,-3)</f>
        <v>161000</v>
      </c>
    </row>
    <row r="27" spans="2:12" ht="15.75" thickBot="1" x14ac:dyDescent="0.3">
      <c r="B27" s="63" t="s">
        <v>176</v>
      </c>
      <c r="C27" s="134">
        <f>SUM(C23,C25:C26)</f>
        <v>3151000</v>
      </c>
      <c r="D27" s="134">
        <f>SUM(D23,D25:D26)</f>
        <v>1770000</v>
      </c>
    </row>
    <row r="28" spans="2:12" ht="15.75" thickTop="1" x14ac:dyDescent="0.25">
      <c r="C28" s="137"/>
      <c r="D28" s="137"/>
    </row>
    <row r="29" spans="2:12" ht="19.5" thickBot="1" x14ac:dyDescent="0.35">
      <c r="B29" s="36" t="s">
        <v>163</v>
      </c>
      <c r="C29" s="36"/>
      <c r="D29" s="36"/>
      <c r="E29" s="36"/>
    </row>
    <row r="31" spans="2:12" x14ac:dyDescent="0.25">
      <c r="B31" s="115" t="s">
        <v>137</v>
      </c>
      <c r="C31" s="69"/>
      <c r="D31" s="69">
        <f>ROUND('Total Cash Flow'!C34*D$8,-3)</f>
        <v>469000</v>
      </c>
      <c r="E31" s="69">
        <f>ROUND('Total Cash Flow'!D34*E$8,-3)</f>
        <v>1109000</v>
      </c>
      <c r="F31" s="69">
        <f>ROUND('Total Cash Flow'!E34*F$8,-3)</f>
        <v>1148000</v>
      </c>
      <c r="G31" s="69">
        <f>ROUND('Total Cash Flow'!F34*G$8,-3)</f>
        <v>1188000</v>
      </c>
      <c r="H31" s="69">
        <f>ROUND('Total Cash Flow'!G34*H$8,-3)</f>
        <v>1229000</v>
      </c>
      <c r="I31" s="69"/>
      <c r="J31" s="69"/>
      <c r="K31" s="69"/>
      <c r="L31" s="69"/>
    </row>
    <row r="32" spans="2:12" x14ac:dyDescent="0.25">
      <c r="B32" s="115" t="s">
        <v>138</v>
      </c>
      <c r="C32" s="4"/>
      <c r="D32" s="4">
        <f>ROUND('Total Cash Flow'!C35*D$8,-3)</f>
        <v>402000</v>
      </c>
      <c r="E32" s="4">
        <f>ROUND('Total Cash Flow'!D35*E$8,-3)</f>
        <v>5544000</v>
      </c>
      <c r="F32" s="4">
        <f>ROUND('Total Cash Flow'!E35*F$8,-3)</f>
        <v>8606000</v>
      </c>
      <c r="G32" s="4">
        <f>ROUND('Total Cash Flow'!F35*G$8,-3)</f>
        <v>8908000</v>
      </c>
      <c r="H32" s="4">
        <f>ROUND('Total Cash Flow'!G35*H$8,-3)</f>
        <v>33398000</v>
      </c>
      <c r="I32" s="4"/>
      <c r="J32" s="4"/>
      <c r="K32" s="4"/>
      <c r="L32" s="4"/>
    </row>
    <row r="33" spans="2:8" x14ac:dyDescent="0.25">
      <c r="B33" s="115" t="s">
        <v>139</v>
      </c>
      <c r="C33" s="4"/>
      <c r="D33" s="4">
        <f>ROUND('Total Cash Flow'!C36*D$8,-3)</f>
        <v>134000</v>
      </c>
      <c r="E33" s="4">
        <f>ROUND('Total Cash Flow'!D36*E$8,-3)</f>
        <v>0</v>
      </c>
      <c r="F33" s="4">
        <f>ROUND('Total Cash Flow'!E36*F$8,-3)</f>
        <v>0</v>
      </c>
      <c r="G33" s="4">
        <f>ROUND('Total Cash Flow'!F36*G$8,-3)</f>
        <v>1485000</v>
      </c>
      <c r="H33" s="4">
        <f>ROUND('Total Cash Flow'!G36*H$8,-3)</f>
        <v>3073000</v>
      </c>
    </row>
    <row r="34" spans="2:8" x14ac:dyDescent="0.25">
      <c r="B34" s="115" t="s">
        <v>33</v>
      </c>
      <c r="C34" s="4"/>
      <c r="D34" s="4">
        <f>ROUND('Total Cash Flow'!C37*D$8,-3)</f>
        <v>27000</v>
      </c>
      <c r="E34" s="4">
        <f>ROUND('Total Cash Flow'!D37*E$8,-3)</f>
        <v>0</v>
      </c>
      <c r="F34" s="4">
        <f>ROUND('Total Cash Flow'!E37*F$8,-3)</f>
        <v>0</v>
      </c>
      <c r="G34" s="4">
        <f>ROUND('Total Cash Flow'!F37*G$8,-3)</f>
        <v>0</v>
      </c>
      <c r="H34" s="4">
        <f>ROUND('Total Cash Flow'!G37*H$8,-3)</f>
        <v>0</v>
      </c>
    </row>
    <row r="35" spans="2:8" x14ac:dyDescent="0.25">
      <c r="B35" s="115" t="s">
        <v>34</v>
      </c>
      <c r="C35" s="4"/>
      <c r="D35" s="4">
        <f>ROUND('Total Cash Flow'!C38*D$8,-3)</f>
        <v>27000</v>
      </c>
      <c r="E35" s="4">
        <f>ROUND('Total Cash Flow'!D38*E$8,-3)</f>
        <v>0</v>
      </c>
      <c r="F35" s="4">
        <f>ROUND('Total Cash Flow'!E38*F$8,-3)</f>
        <v>0</v>
      </c>
      <c r="G35" s="4">
        <f>ROUND('Total Cash Flow'!F38*G$8,-3)</f>
        <v>0</v>
      </c>
      <c r="H35" s="4">
        <f>ROUND('Total Cash Flow'!G38*H$8,-3)</f>
        <v>0</v>
      </c>
    </row>
    <row r="36" spans="2:8" x14ac:dyDescent="0.25">
      <c r="B36" s="115" t="s">
        <v>123</v>
      </c>
      <c r="C36" s="4"/>
      <c r="D36" s="4">
        <f>ROUND('Total Cash Flow'!C39*D$8,-3)</f>
        <v>27000</v>
      </c>
      <c r="E36" s="4">
        <f>ROUND('Total Cash Flow'!D39*E$8,-3)</f>
        <v>0</v>
      </c>
      <c r="F36" s="4">
        <f>ROUND('Total Cash Flow'!E39*F$8,-3)</f>
        <v>0</v>
      </c>
      <c r="G36" s="4">
        <f>ROUND('Total Cash Flow'!F39*G$8,-3)</f>
        <v>0</v>
      </c>
      <c r="H36" s="4">
        <f>ROUND('Total Cash Flow'!G39*H$8,-3)</f>
        <v>0</v>
      </c>
    </row>
    <row r="37" spans="2:8" x14ac:dyDescent="0.25">
      <c r="B37" s="115" t="s">
        <v>36</v>
      </c>
      <c r="C37" s="4"/>
      <c r="D37" s="4">
        <f>ROUND('Total Cash Flow'!C40*D$8,-3)</f>
        <v>27000</v>
      </c>
      <c r="E37" s="4">
        <f>ROUND('Total Cash Flow'!D40*E$8,-3)</f>
        <v>0</v>
      </c>
      <c r="F37" s="4">
        <f>ROUND('Total Cash Flow'!E40*F$8,-3)</f>
        <v>0</v>
      </c>
      <c r="G37" s="4">
        <f>ROUND('Total Cash Flow'!F40*G$8,-3)</f>
        <v>0</v>
      </c>
      <c r="H37" s="4">
        <f>ROUND('Total Cash Flow'!G40*H$8,-3)</f>
        <v>0</v>
      </c>
    </row>
    <row r="38" spans="2:8" x14ac:dyDescent="0.25">
      <c r="B38" s="115" t="s">
        <v>37</v>
      </c>
      <c r="C38" s="4"/>
      <c r="D38" s="4">
        <f>ROUND('Total Cash Flow'!C41*D$8,-3)</f>
        <v>27000</v>
      </c>
      <c r="E38" s="4">
        <f>ROUND('Total Cash Flow'!D41*E$8,-3)</f>
        <v>0</v>
      </c>
      <c r="F38" s="4">
        <f>ROUND('Total Cash Flow'!E41*F$8,-3)</f>
        <v>0</v>
      </c>
      <c r="G38" s="4">
        <f>ROUND('Total Cash Flow'!F41*G$8,-3)</f>
        <v>0</v>
      </c>
      <c r="H38" s="4">
        <f>ROUND('Total Cash Flow'!G41*H$8,-3)</f>
        <v>0</v>
      </c>
    </row>
    <row r="39" spans="2:8" x14ac:dyDescent="0.25">
      <c r="B39" s="115" t="s">
        <v>38</v>
      </c>
      <c r="C39" s="4"/>
      <c r="D39" s="4">
        <f>ROUND('Total Cash Flow'!C42*D$8,-3)</f>
        <v>27000</v>
      </c>
      <c r="E39" s="4">
        <f>ROUND('Total Cash Flow'!D42*E$8,-3)</f>
        <v>0</v>
      </c>
      <c r="F39" s="4">
        <f>ROUND('Total Cash Flow'!E42*F$8,-3)</f>
        <v>0</v>
      </c>
      <c r="G39" s="4">
        <f>ROUND('Total Cash Flow'!F42*G$8,-3)</f>
        <v>0</v>
      </c>
      <c r="H39" s="4">
        <f>ROUND('Total Cash Flow'!G42*H$8,-3)</f>
        <v>0</v>
      </c>
    </row>
    <row r="40" spans="2:8" x14ac:dyDescent="0.25">
      <c r="B40" s="135" t="s">
        <v>126</v>
      </c>
      <c r="C40" s="133"/>
      <c r="D40" s="133">
        <f>ROUND('Total Cash Flow'!C43*D$8,-3)</f>
        <v>27000</v>
      </c>
      <c r="E40" s="133">
        <f>ROUND('Total Cash Flow'!D43*E$8,-3)</f>
        <v>0</v>
      </c>
      <c r="F40" s="133">
        <f>ROUND('Total Cash Flow'!E43*F$8,-3)</f>
        <v>0</v>
      </c>
      <c r="G40" s="133">
        <f>ROUND('Total Cash Flow'!F43*G$8,-3)</f>
        <v>0</v>
      </c>
      <c r="H40" s="133">
        <f>ROUND('Total Cash Flow'!G43*H$8,-3)</f>
        <v>0</v>
      </c>
    </row>
    <row r="41" spans="2:8" x14ac:dyDescent="0.25">
      <c r="B41" s="115" t="s">
        <v>164</v>
      </c>
      <c r="C41" s="4"/>
      <c r="D41" s="69">
        <f>SUBTOTAL(9,D31:D40)</f>
        <v>1194000</v>
      </c>
      <c r="E41" s="69">
        <f t="shared" ref="E41:H41" si="6">SUBTOTAL(9,E31:E40)</f>
        <v>6653000</v>
      </c>
      <c r="F41" s="69">
        <f t="shared" si="6"/>
        <v>9754000</v>
      </c>
      <c r="G41" s="69">
        <f t="shared" si="6"/>
        <v>11581000</v>
      </c>
      <c r="H41" s="69">
        <f t="shared" si="6"/>
        <v>37700000</v>
      </c>
    </row>
    <row r="42" spans="2:8" x14ac:dyDescent="0.25">
      <c r="B42" s="115"/>
      <c r="C42" s="69"/>
      <c r="D42" s="69"/>
      <c r="E42" s="69"/>
      <c r="F42" s="69"/>
      <c r="G42" s="69"/>
      <c r="H42" s="69"/>
    </row>
    <row r="43" spans="2:8" x14ac:dyDescent="0.25">
      <c r="B43" s="115" t="s">
        <v>161</v>
      </c>
      <c r="D43" s="69">
        <f>ROUND('Total Cash Flow'!C46*D$8,-3)</f>
        <v>415000</v>
      </c>
      <c r="E43" s="69">
        <f>ROUND('Total Cash Flow'!D46*E$8,-3)</f>
        <v>1633000</v>
      </c>
      <c r="F43" s="69">
        <f>ROUND('Total Cash Flow'!E46*F$8,-3)</f>
        <v>2099000</v>
      </c>
      <c r="G43" s="69">
        <f>ROUND('Total Cash Flow'!F46*G$8,-3)</f>
        <v>2393000</v>
      </c>
      <c r="H43" s="69">
        <f>ROUND('Total Cash Flow'!G46*H$8,-3)</f>
        <v>2629000</v>
      </c>
    </row>
    <row r="44" spans="2:8" x14ac:dyDescent="0.25">
      <c r="B44" s="115" t="s">
        <v>177</v>
      </c>
      <c r="C44" s="69"/>
      <c r="D44" s="4">
        <f>ROUND('Total Cash Flow'!C47*D$8,-3)</f>
        <v>161000</v>
      </c>
      <c r="E44" s="4">
        <f>ROUND('Total Cash Flow'!D47*E$8,-3)</f>
        <v>828000</v>
      </c>
      <c r="F44" s="4">
        <f>ROUND('Total Cash Flow'!E47*F$8,-3)</f>
        <v>1185000</v>
      </c>
      <c r="G44" s="4">
        <f>ROUND('Total Cash Flow'!F47*G$8,-3)</f>
        <v>1397000</v>
      </c>
      <c r="H44" s="4">
        <f>ROUND('Total Cash Flow'!G47*H$8,-3)</f>
        <v>8582000</v>
      </c>
    </row>
    <row r="45" spans="2:8" x14ac:dyDescent="0.25">
      <c r="B45" s="115" t="s">
        <v>178</v>
      </c>
      <c r="C45" s="69"/>
      <c r="D45" s="4">
        <f>ROUND('Total Cash Flow'!C52*D$8,-3)</f>
        <v>0</v>
      </c>
      <c r="E45" s="4">
        <f>ROUND('Total Cash Flow'!D52*E$8,-3)</f>
        <v>2734000</v>
      </c>
      <c r="F45" s="4">
        <f>ROUND('Total Cash Flow'!E52*F$8,-3)</f>
        <v>3911000</v>
      </c>
      <c r="G45" s="4">
        <f>ROUND('Total Cash Flow'!F52*G$8,-3)</f>
        <v>4611000</v>
      </c>
      <c r="H45" s="4">
        <f>ROUND('Total Cash Flow'!G52*H$8,-3)</f>
        <v>14673000</v>
      </c>
    </row>
    <row r="46" spans="2:8" ht="15.75" thickBot="1" x14ac:dyDescent="0.3">
      <c r="B46" s="63" t="s">
        <v>179</v>
      </c>
      <c r="C46" s="134"/>
      <c r="D46" s="134">
        <f>SUM(D41,D43:D45)</f>
        <v>1770000</v>
      </c>
      <c r="E46" s="134">
        <f t="shared" ref="E46:H46" si="7">SUM(E41,E43:E45)</f>
        <v>11848000</v>
      </c>
      <c r="F46" s="134">
        <f t="shared" si="7"/>
        <v>16949000</v>
      </c>
      <c r="G46" s="134">
        <f t="shared" si="7"/>
        <v>19982000</v>
      </c>
      <c r="H46" s="134">
        <f t="shared" si="7"/>
        <v>63584000</v>
      </c>
    </row>
    <row r="47" spans="2:8" ht="15.75" thickTop="1" x14ac:dyDescent="0.25">
      <c r="D47" s="137"/>
      <c r="E47" s="137"/>
      <c r="F47" s="137"/>
      <c r="G47" s="137"/>
      <c r="H47" s="137"/>
    </row>
    <row r="48" spans="2:8" ht="15.75" thickBot="1" x14ac:dyDescent="0.3">
      <c r="B48" s="138" t="s">
        <v>180</v>
      </c>
      <c r="C48" s="134">
        <f>SUM(C27,C46)</f>
        <v>3151000</v>
      </c>
      <c r="D48" s="134">
        <f t="shared" ref="D48:H48" si="8">SUM(D27,D46)</f>
        <v>3540000</v>
      </c>
      <c r="E48" s="134">
        <f t="shared" si="8"/>
        <v>11848000</v>
      </c>
      <c r="F48" s="134">
        <f t="shared" si="8"/>
        <v>16949000</v>
      </c>
      <c r="G48" s="134">
        <f t="shared" si="8"/>
        <v>19982000</v>
      </c>
      <c r="H48" s="134">
        <f t="shared" si="8"/>
        <v>63584000</v>
      </c>
    </row>
    <row r="49" spans="2:8" ht="15.75" thickTop="1" x14ac:dyDescent="0.25">
      <c r="B49" s="136" t="s">
        <v>181</v>
      </c>
      <c r="C49" s="137"/>
      <c r="D49" s="137"/>
      <c r="E49" s="137"/>
      <c r="F49" s="137"/>
      <c r="G49" s="137"/>
      <c r="H49" s="13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F6882-B280-4C9C-AB38-F1CC288B9197}">
  <dimension ref="B2:D49"/>
  <sheetViews>
    <sheetView workbookViewId="0">
      <selection activeCell="C32" sqref="C32"/>
    </sheetView>
  </sheetViews>
  <sheetFormatPr defaultRowHeight="15" x14ac:dyDescent="0.25"/>
  <cols>
    <col min="2" max="2" width="41.140625" customWidth="1"/>
    <col min="3" max="3" width="15.140625" bestFit="1" customWidth="1"/>
  </cols>
  <sheetData>
    <row r="2" spans="2:4" ht="19.5" thickBot="1" x14ac:dyDescent="0.35">
      <c r="B2" s="36" t="s">
        <v>182</v>
      </c>
      <c r="C2" s="36"/>
      <c r="D2" s="74"/>
    </row>
    <row r="3" spans="2:4" x14ac:dyDescent="0.25">
      <c r="B3" s="146" t="s">
        <v>183</v>
      </c>
      <c r="C3" s="76">
        <f>'Total Cash Flow'!C44+'Total Cash Flow'!C47</f>
        <v>1262500</v>
      </c>
      <c r="D3" s="74"/>
    </row>
    <row r="4" spans="2:4" x14ac:dyDescent="0.25">
      <c r="B4" s="146" t="s">
        <v>184</v>
      </c>
      <c r="C4" s="76"/>
      <c r="D4" s="74"/>
    </row>
    <row r="5" spans="2:4" x14ac:dyDescent="0.25">
      <c r="B5" s="147" t="s">
        <v>185</v>
      </c>
      <c r="C5" s="76">
        <f>'Hard Cost'!F3</f>
        <v>164461171.875</v>
      </c>
      <c r="D5" s="74"/>
    </row>
    <row r="6" spans="2:4" x14ac:dyDescent="0.25">
      <c r="B6" s="147" t="s">
        <v>186</v>
      </c>
      <c r="C6" s="76">
        <f>'Hard Cost'!F4</f>
        <v>136209198.125</v>
      </c>
      <c r="D6" s="74"/>
    </row>
    <row r="7" spans="2:4" x14ac:dyDescent="0.25">
      <c r="B7" s="147" t="s">
        <v>187</v>
      </c>
      <c r="C7" s="76">
        <f>SUM(C5:C6)*0.25</f>
        <v>75167592.5</v>
      </c>
      <c r="D7" s="74"/>
    </row>
    <row r="8" spans="2:4" x14ac:dyDescent="0.25">
      <c r="B8" s="146" t="s">
        <v>188</v>
      </c>
      <c r="C8" s="76"/>
      <c r="D8" s="74"/>
    </row>
    <row r="9" spans="2:4" x14ac:dyDescent="0.25">
      <c r="B9" s="147" t="s">
        <v>189</v>
      </c>
      <c r="C9" s="76">
        <f>SUM('Soft Cost'!I22:U22)</f>
        <v>12500000</v>
      </c>
      <c r="D9" s="74"/>
    </row>
    <row r="10" spans="2:4" x14ac:dyDescent="0.25">
      <c r="B10" s="147" t="s">
        <v>190</v>
      </c>
      <c r="C10" s="76">
        <f>SUM('Soft Cost'!I23:U23)</f>
        <v>34000000</v>
      </c>
      <c r="D10" s="74"/>
    </row>
    <row r="11" spans="2:4" x14ac:dyDescent="0.25">
      <c r="B11" s="147" t="s">
        <v>191</v>
      </c>
      <c r="C11" s="76">
        <f>SUM('Soft Cost'!I24:U24)</f>
        <v>20750000</v>
      </c>
      <c r="D11" s="74"/>
    </row>
    <row r="12" spans="2:4" x14ac:dyDescent="0.25">
      <c r="B12" s="147" t="s">
        <v>192</v>
      </c>
      <c r="C12" s="76">
        <f>SUM('Soft Cost'!I35:U35)</f>
        <v>27804500</v>
      </c>
      <c r="D12" s="74"/>
    </row>
    <row r="13" spans="2:4" x14ac:dyDescent="0.25">
      <c r="B13" s="147" t="s">
        <v>193</v>
      </c>
      <c r="C13" s="76">
        <f>SUM(C9:C12)*0.1</f>
        <v>9505450</v>
      </c>
      <c r="D13" s="74"/>
    </row>
    <row r="14" spans="2:4" x14ac:dyDescent="0.25">
      <c r="B14" s="146" t="s">
        <v>194</v>
      </c>
      <c r="C14" s="76" cm="1">
        <f t="array" ref="C14">SUM(C3:C13*0.3)</f>
        <v>144498123.75</v>
      </c>
      <c r="D14" s="74"/>
    </row>
    <row r="15" spans="2:4" x14ac:dyDescent="0.25">
      <c r="B15" s="74"/>
      <c r="C15" s="76"/>
      <c r="D15" s="74"/>
    </row>
    <row r="16" spans="2:4" ht="15.75" thickBot="1" x14ac:dyDescent="0.3">
      <c r="B16" s="63" t="s">
        <v>116</v>
      </c>
      <c r="C16" s="122">
        <f>SUM(C3:C14)</f>
        <v>626158536.25</v>
      </c>
      <c r="D16" s="74"/>
    </row>
    <row r="17" spans="2:4" ht="15.75" thickTop="1" x14ac:dyDescent="0.25">
      <c r="B17" s="74"/>
      <c r="C17" s="74"/>
      <c r="D17" s="74"/>
    </row>
    <row r="18" spans="2:4" x14ac:dyDescent="0.25">
      <c r="B18" s="74"/>
      <c r="C18" s="74"/>
      <c r="D18" s="74"/>
    </row>
    <row r="19" spans="2:4" ht="19.5" thickBot="1" x14ac:dyDescent="0.35">
      <c r="B19" s="36" t="s">
        <v>195</v>
      </c>
      <c r="C19" s="36"/>
      <c r="D19" s="74"/>
    </row>
    <row r="20" spans="2:4" x14ac:dyDescent="0.25">
      <c r="B20" s="146" t="s">
        <v>196</v>
      </c>
      <c r="C20" s="76">
        <v>295195000</v>
      </c>
      <c r="D20" s="74"/>
    </row>
    <row r="21" spans="2:4" x14ac:dyDescent="0.25">
      <c r="B21" s="146" t="s">
        <v>197</v>
      </c>
      <c r="C21" s="76">
        <v>407640000</v>
      </c>
      <c r="D21" s="74"/>
    </row>
    <row r="22" spans="2:4" x14ac:dyDescent="0.25">
      <c r="B22" s="146" t="s">
        <v>198</v>
      </c>
      <c r="C22" s="76">
        <v>323765000</v>
      </c>
      <c r="D22" s="74"/>
    </row>
    <row r="23" spans="2:4" x14ac:dyDescent="0.25">
      <c r="B23" s="146" t="s">
        <v>199</v>
      </c>
      <c r="C23" s="76">
        <v>66677500</v>
      </c>
      <c r="D23" s="74"/>
    </row>
    <row r="24" spans="2:4" x14ac:dyDescent="0.25">
      <c r="B24" s="146" t="s">
        <v>34</v>
      </c>
      <c r="C24" s="76">
        <v>67083750</v>
      </c>
      <c r="D24" s="74"/>
    </row>
    <row r="25" spans="2:4" x14ac:dyDescent="0.25">
      <c r="B25" s="146" t="s">
        <v>200</v>
      </c>
      <c r="C25" s="76">
        <v>336777568</v>
      </c>
      <c r="D25" s="74"/>
    </row>
    <row r="26" spans="2:4" x14ac:dyDescent="0.25">
      <c r="B26" s="148" t="s">
        <v>201</v>
      </c>
      <c r="C26" s="149">
        <f>SUM(C20:C25)</f>
        <v>1497138818</v>
      </c>
      <c r="D26" s="74"/>
    </row>
    <row r="27" spans="2:4" ht="15.75" thickBot="1" x14ac:dyDescent="0.3">
      <c r="B27" s="63" t="s">
        <v>202</v>
      </c>
      <c r="C27" s="122">
        <f>C26*1.1</f>
        <v>1646852699.8000002</v>
      </c>
      <c r="D27" s="74"/>
    </row>
    <row r="28" spans="2:4" ht="15.75" thickTop="1" x14ac:dyDescent="0.25"/>
    <row r="30" spans="2:4" ht="19.5" thickBot="1" x14ac:dyDescent="0.35">
      <c r="B30" s="36" t="s">
        <v>203</v>
      </c>
      <c r="C30" s="36"/>
    </row>
    <row r="31" spans="2:4" x14ac:dyDescent="0.25">
      <c r="B31" t="s">
        <v>204</v>
      </c>
    </row>
    <row r="32" spans="2:4" x14ac:dyDescent="0.25">
      <c r="B32" s="150" t="s">
        <v>205</v>
      </c>
      <c r="C32" s="76">
        <v>405990208</v>
      </c>
    </row>
    <row r="33" spans="2:3" x14ac:dyDescent="0.25">
      <c r="B33" s="150" t="s">
        <v>206</v>
      </c>
      <c r="C33" s="76">
        <v>146540015</v>
      </c>
    </row>
    <row r="34" spans="2:3" ht="15.75" thickBot="1" x14ac:dyDescent="0.3">
      <c r="B34" s="138" t="s">
        <v>116</v>
      </c>
      <c r="C34" s="122">
        <f>SUM(C32:C33)</f>
        <v>552530223</v>
      </c>
    </row>
    <row r="35" spans="2:3" ht="15.75" thickTop="1" x14ac:dyDescent="0.25"/>
    <row r="37" spans="2:3" x14ac:dyDescent="0.25">
      <c r="B37" t="s">
        <v>207</v>
      </c>
    </row>
    <row r="38" spans="2:3" x14ac:dyDescent="0.25">
      <c r="B38" s="150" t="s">
        <v>208</v>
      </c>
      <c r="C38" s="76">
        <v>405990208</v>
      </c>
    </row>
    <row r="39" spans="2:3" x14ac:dyDescent="0.25">
      <c r="B39" s="150" t="s">
        <v>206</v>
      </c>
      <c r="C39" s="76">
        <v>146540015</v>
      </c>
    </row>
    <row r="40" spans="2:3" x14ac:dyDescent="0.25">
      <c r="B40" s="150" t="s">
        <v>209</v>
      </c>
      <c r="C40" s="76">
        <v>0</v>
      </c>
    </row>
    <row r="41" spans="2:3" ht="15.75" thickBot="1" x14ac:dyDescent="0.3">
      <c r="B41" s="138" t="s">
        <v>116</v>
      </c>
      <c r="C41" s="122">
        <f>SUM(C38:C40)</f>
        <v>552530223</v>
      </c>
    </row>
    <row r="42" spans="2:3" ht="15.75" thickTop="1" x14ac:dyDescent="0.25"/>
    <row r="43" spans="2:3" x14ac:dyDescent="0.25">
      <c r="B43" t="s">
        <v>210</v>
      </c>
    </row>
    <row r="44" spans="2:3" x14ac:dyDescent="0.25">
      <c r="B44" s="150" t="s">
        <v>208</v>
      </c>
      <c r="C44" s="76">
        <v>264258671</v>
      </c>
    </row>
    <row r="45" spans="2:3" x14ac:dyDescent="0.25">
      <c r="B45" s="150" t="s">
        <v>206</v>
      </c>
      <c r="C45" s="76">
        <v>354441112</v>
      </c>
    </row>
    <row r="46" spans="2:3" x14ac:dyDescent="0.25">
      <c r="B46" s="150" t="s">
        <v>209</v>
      </c>
      <c r="C46" s="76">
        <v>20000000</v>
      </c>
    </row>
    <row r="47" spans="2:3" ht="15.75" thickBot="1" x14ac:dyDescent="0.3">
      <c r="B47" s="138" t="s">
        <v>116</v>
      </c>
      <c r="C47" s="122">
        <f>SUM(C44:C46)</f>
        <v>638699783</v>
      </c>
    </row>
    <row r="48" spans="2:3" ht="15.75" thickTop="1" x14ac:dyDescent="0.25"/>
    <row r="49" spans="2:3" x14ac:dyDescent="0.25">
      <c r="B49" s="136" t="s">
        <v>211</v>
      </c>
      <c r="C49" s="151">
        <f>C47-C41</f>
        <v>86169560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DB919-587D-42AE-8418-E41E9CADD78D}">
  <dimension ref="B1:BL75"/>
  <sheetViews>
    <sheetView topLeftCell="B1" workbookViewId="0"/>
  </sheetViews>
  <sheetFormatPr defaultRowHeight="15" outlineLevelRow="1" outlineLevelCol="1" x14ac:dyDescent="0.25"/>
  <cols>
    <col min="1" max="1" width="0" hidden="1" customWidth="1"/>
    <col min="2" max="2" width="5.7109375" style="26" customWidth="1"/>
    <col min="3" max="3" width="7.140625" customWidth="1"/>
    <col min="4" max="4" width="4.140625" customWidth="1"/>
    <col min="5" max="5" width="16.85546875" customWidth="1"/>
    <col min="6" max="6" width="0.7109375" hidden="1" customWidth="1"/>
    <col min="7" max="7" width="10" style="4" bestFit="1" customWidth="1"/>
    <col min="11" max="11" width="10.28515625" bestFit="1" customWidth="1"/>
    <col min="12" max="12" width="36" customWidth="1"/>
    <col min="13" max="13" width="26.28515625" customWidth="1"/>
    <col min="14" max="14" width="3.140625" customWidth="1"/>
    <col min="28" max="30" width="0" hidden="1" customWidth="1" outlineLevel="1"/>
    <col min="31" max="31" width="8.85546875" collapsed="1"/>
    <col min="32" max="34" width="0" hidden="1" customWidth="1" outlineLevel="1"/>
    <col min="35" max="35" width="8.85546875" collapsed="1"/>
    <col min="36" max="38" width="0" hidden="1" customWidth="1" outlineLevel="1"/>
    <col min="39" max="39" width="8.85546875" collapsed="1"/>
  </cols>
  <sheetData>
    <row r="1" spans="2:64" x14ac:dyDescent="0.25">
      <c r="G1"/>
    </row>
    <row r="2" spans="2:64" ht="21.75" thickBot="1" x14ac:dyDescent="0.4">
      <c r="B2" s="28" t="s">
        <v>212</v>
      </c>
      <c r="C2" s="1"/>
      <c r="D2" s="1"/>
      <c r="E2" s="1"/>
      <c r="F2" s="1"/>
      <c r="G2" s="1"/>
      <c r="H2" s="1"/>
      <c r="I2" s="1"/>
      <c r="J2" s="1"/>
      <c r="K2" s="1"/>
      <c r="L2" s="1"/>
      <c r="M2" s="1"/>
      <c r="N2" s="1"/>
      <c r="O2" s="1"/>
      <c r="P2" s="1"/>
      <c r="Q2" s="1"/>
      <c r="R2" s="1"/>
      <c r="S2" s="1"/>
      <c r="T2" s="1"/>
      <c r="U2" s="1"/>
      <c r="V2" s="1"/>
      <c r="W2" s="1"/>
      <c r="X2" s="1"/>
      <c r="Y2" s="1"/>
      <c r="Z2" s="1"/>
      <c r="AA2" s="1"/>
      <c r="AB2" s="1"/>
      <c r="AC2" s="1"/>
      <c r="AD2" s="1"/>
    </row>
    <row r="3" spans="2:64" ht="15.75" thickTop="1" x14ac:dyDescent="0.25">
      <c r="G3"/>
    </row>
    <row r="4" spans="2:64" x14ac:dyDescent="0.25">
      <c r="G4"/>
    </row>
    <row r="5" spans="2:64" ht="19.5" thickBot="1" x14ac:dyDescent="0.35">
      <c r="C5" s="2" t="s">
        <v>213</v>
      </c>
      <c r="F5" s="2" t="s">
        <v>214</v>
      </c>
      <c r="G5" s="2" t="s">
        <v>215</v>
      </c>
      <c r="H5" s="3" t="s">
        <v>216</v>
      </c>
      <c r="I5" s="3"/>
      <c r="J5" s="3" t="s">
        <v>111</v>
      </c>
      <c r="K5" s="3"/>
      <c r="O5" s="2">
        <v>2024</v>
      </c>
      <c r="S5" s="2">
        <v>2025</v>
      </c>
      <c r="W5" s="2">
        <v>2026</v>
      </c>
      <c r="AA5" s="2">
        <v>2027</v>
      </c>
      <c r="AE5" s="2">
        <v>2028</v>
      </c>
      <c r="AI5" s="2">
        <v>2029</v>
      </c>
      <c r="AM5" s="2">
        <v>2030</v>
      </c>
      <c r="AN5" s="2">
        <v>2031</v>
      </c>
      <c r="AO5" s="2">
        <v>2032</v>
      </c>
      <c r="AP5" s="2">
        <v>2033</v>
      </c>
      <c r="AQ5" s="2">
        <v>2034</v>
      </c>
      <c r="AR5" s="2">
        <v>2035</v>
      </c>
      <c r="AS5" s="2">
        <v>2036</v>
      </c>
      <c r="AT5" s="2">
        <v>2037</v>
      </c>
      <c r="AU5" s="2">
        <v>2038</v>
      </c>
      <c r="AV5" s="2">
        <v>2039</v>
      </c>
      <c r="AW5" s="2">
        <v>2040</v>
      </c>
      <c r="AX5" s="2">
        <v>2041</v>
      </c>
      <c r="AY5" s="2">
        <v>2042</v>
      </c>
      <c r="AZ5" s="2">
        <v>2043</v>
      </c>
      <c r="BA5" s="2">
        <v>2044</v>
      </c>
      <c r="BB5" s="2">
        <v>2045</v>
      </c>
      <c r="BC5" s="2">
        <v>2046</v>
      </c>
      <c r="BD5" s="2">
        <v>2047</v>
      </c>
      <c r="BE5" s="2">
        <v>2048</v>
      </c>
      <c r="BF5" s="2">
        <v>2049</v>
      </c>
      <c r="BG5" s="2">
        <v>2050</v>
      </c>
      <c r="BH5" s="2">
        <v>2051</v>
      </c>
      <c r="BI5" s="2">
        <v>2052</v>
      </c>
      <c r="BJ5" s="2">
        <v>2053</v>
      </c>
      <c r="BK5" s="2">
        <v>2054</v>
      </c>
      <c r="BL5" s="2">
        <v>2055</v>
      </c>
    </row>
    <row r="6" spans="2:64" x14ac:dyDescent="0.25">
      <c r="B6" s="27" t="s">
        <v>217</v>
      </c>
      <c r="C6" s="2" t="s">
        <v>218</v>
      </c>
      <c r="D6" s="32" t="s">
        <v>219</v>
      </c>
      <c r="E6" s="2"/>
      <c r="F6" s="2" t="s">
        <v>220</v>
      </c>
      <c r="G6" s="2" t="s">
        <v>220</v>
      </c>
      <c r="H6" s="2" t="s">
        <v>221</v>
      </c>
      <c r="I6" s="2" t="s">
        <v>222</v>
      </c>
      <c r="J6" s="2" t="s">
        <v>221</v>
      </c>
      <c r="K6" s="2" t="s">
        <v>222</v>
      </c>
      <c r="L6" s="2" t="s">
        <v>223</v>
      </c>
      <c r="M6" s="2" t="s">
        <v>224</v>
      </c>
      <c r="O6" s="2" t="s">
        <v>225</v>
      </c>
      <c r="P6" s="2" t="s">
        <v>226</v>
      </c>
      <c r="Q6" s="2" t="s">
        <v>227</v>
      </c>
      <c r="R6" s="2" t="s">
        <v>228</v>
      </c>
      <c r="S6" s="2" t="s">
        <v>229</v>
      </c>
      <c r="T6" s="2" t="s">
        <v>230</v>
      </c>
      <c r="U6" s="2" t="s">
        <v>231</v>
      </c>
      <c r="V6" s="2" t="s">
        <v>232</v>
      </c>
      <c r="W6" s="2" t="s">
        <v>233</v>
      </c>
      <c r="X6" s="2" t="s">
        <v>234</v>
      </c>
      <c r="Y6" s="2" t="s">
        <v>235</v>
      </c>
      <c r="Z6" s="2" t="s">
        <v>236</v>
      </c>
      <c r="AA6" s="2" t="s">
        <v>237</v>
      </c>
      <c r="AB6" s="2" t="s">
        <v>238</v>
      </c>
      <c r="AC6" s="2" t="s">
        <v>239</v>
      </c>
      <c r="AD6" s="2" t="s">
        <v>240</v>
      </c>
      <c r="AE6" s="2" t="s">
        <v>241</v>
      </c>
      <c r="AF6" s="2" t="s">
        <v>242</v>
      </c>
      <c r="AG6" s="2" t="s">
        <v>243</v>
      </c>
      <c r="AH6" s="2" t="s">
        <v>244</v>
      </c>
      <c r="AI6" s="2" t="s">
        <v>245</v>
      </c>
      <c r="AJ6" s="2" t="s">
        <v>246</v>
      </c>
      <c r="AK6" s="2" t="s">
        <v>247</v>
      </c>
      <c r="AL6" s="2" t="s">
        <v>248</v>
      </c>
    </row>
    <row r="7" spans="2:64" ht="9" customHeight="1" x14ac:dyDescent="0.25">
      <c r="B7" s="29"/>
      <c r="C7" s="5"/>
      <c r="D7" s="5"/>
      <c r="E7" s="5"/>
      <c r="F7" s="5"/>
      <c r="G7" s="6"/>
      <c r="H7" s="6"/>
      <c r="I7" s="6"/>
      <c r="J7" s="6"/>
      <c r="K7" s="6"/>
      <c r="L7" s="5"/>
      <c r="M7" s="5"/>
    </row>
    <row r="8" spans="2:64" x14ac:dyDescent="0.25">
      <c r="B8" s="8">
        <v>1</v>
      </c>
      <c r="C8" s="7" t="s">
        <v>249</v>
      </c>
      <c r="D8" s="5"/>
      <c r="E8" s="5"/>
      <c r="F8" s="5"/>
      <c r="G8" s="6"/>
      <c r="H8" s="17"/>
      <c r="I8" s="17"/>
      <c r="J8" s="17"/>
      <c r="K8" s="17"/>
      <c r="L8" s="5"/>
      <c r="M8" s="5"/>
    </row>
    <row r="9" spans="2:64" ht="180" x14ac:dyDescent="0.25">
      <c r="B9" s="8">
        <v>1.1000000000000001</v>
      </c>
      <c r="C9" s="5"/>
      <c r="D9" s="5" t="s">
        <v>250</v>
      </c>
      <c r="E9" s="5"/>
      <c r="F9" s="5"/>
      <c r="G9" s="6"/>
      <c r="H9" s="17"/>
      <c r="I9" s="17"/>
      <c r="J9" s="17">
        <v>45474</v>
      </c>
      <c r="K9" s="17">
        <v>45658</v>
      </c>
      <c r="L9" s="5"/>
      <c r="M9" s="33" t="s">
        <v>251</v>
      </c>
      <c r="N9" t="s">
        <v>252</v>
      </c>
      <c r="Q9" s="12"/>
      <c r="R9" s="14"/>
    </row>
    <row r="10" spans="2:64" outlineLevel="1" x14ac:dyDescent="0.25">
      <c r="B10" s="8" t="s">
        <v>253</v>
      </c>
      <c r="C10" s="5"/>
      <c r="D10" s="5"/>
      <c r="E10" s="5" t="s">
        <v>254</v>
      </c>
      <c r="F10" s="5"/>
      <c r="G10" s="6"/>
      <c r="H10" s="17"/>
      <c r="I10" s="17"/>
      <c r="J10" s="17"/>
      <c r="K10" s="17"/>
      <c r="L10" s="5"/>
      <c r="M10" s="5" t="s">
        <v>255</v>
      </c>
    </row>
    <row r="11" spans="2:64" x14ac:dyDescent="0.25">
      <c r="B11" s="8"/>
      <c r="C11" s="5"/>
      <c r="D11" s="5"/>
      <c r="E11" s="5"/>
      <c r="F11" s="5"/>
      <c r="G11" s="6"/>
      <c r="H11" s="17"/>
      <c r="I11" s="17"/>
      <c r="J11" s="17"/>
      <c r="K11" s="17"/>
      <c r="L11" s="5"/>
      <c r="M11" s="5"/>
    </row>
    <row r="12" spans="2:64" x14ac:dyDescent="0.25">
      <c r="B12" s="8">
        <v>1.2</v>
      </c>
      <c r="C12" s="5"/>
      <c r="D12" s="5" t="s">
        <v>256</v>
      </c>
      <c r="E12" s="5"/>
      <c r="F12" s="5"/>
      <c r="G12" s="6"/>
      <c r="H12" s="17"/>
      <c r="I12" s="17"/>
      <c r="J12" s="17">
        <v>45383</v>
      </c>
      <c r="K12" s="17">
        <v>46023</v>
      </c>
      <c r="L12" s="5" t="s">
        <v>257</v>
      </c>
      <c r="M12" s="5"/>
      <c r="P12" s="12"/>
      <c r="Q12" s="13"/>
      <c r="R12" s="13"/>
      <c r="S12" s="13"/>
      <c r="T12" s="13"/>
      <c r="U12" s="13"/>
      <c r="V12" s="14"/>
    </row>
    <row r="13" spans="2:64" outlineLevel="1" x14ac:dyDescent="0.25">
      <c r="B13" s="8" t="s">
        <v>258</v>
      </c>
      <c r="C13" s="5"/>
      <c r="D13" s="5"/>
      <c r="E13" s="5" t="s">
        <v>259</v>
      </c>
      <c r="F13" s="5"/>
      <c r="G13" s="6"/>
      <c r="H13" s="17"/>
      <c r="I13" s="17"/>
      <c r="J13" s="17">
        <v>45383</v>
      </c>
      <c r="K13" s="17">
        <v>46023</v>
      </c>
      <c r="L13" s="5" t="s">
        <v>260</v>
      </c>
      <c r="M13" s="5"/>
      <c r="P13" s="23"/>
      <c r="Q13" s="24"/>
      <c r="R13" s="24"/>
      <c r="S13" s="24"/>
      <c r="T13" s="24"/>
      <c r="U13" s="24"/>
      <c r="V13" s="25"/>
    </row>
    <row r="14" spans="2:64" outlineLevel="1" x14ac:dyDescent="0.25">
      <c r="B14" s="8" t="s">
        <v>261</v>
      </c>
      <c r="C14" s="5"/>
      <c r="D14" s="5"/>
      <c r="E14" s="5" t="s">
        <v>262</v>
      </c>
      <c r="F14" s="5"/>
      <c r="G14" s="6"/>
      <c r="H14" s="17"/>
      <c r="I14" s="17"/>
      <c r="J14" s="17">
        <v>45383</v>
      </c>
      <c r="K14" s="17">
        <v>45809</v>
      </c>
      <c r="L14" s="5" t="s">
        <v>260</v>
      </c>
      <c r="M14" s="5"/>
      <c r="P14" s="18"/>
      <c r="Q14" s="19"/>
      <c r="R14" s="19"/>
      <c r="S14" s="19"/>
      <c r="T14" s="20"/>
    </row>
    <row r="15" spans="2:64" outlineLevel="1" x14ac:dyDescent="0.25">
      <c r="B15" s="8" t="s">
        <v>263</v>
      </c>
      <c r="C15" s="5"/>
      <c r="D15" s="5"/>
      <c r="E15" s="5" t="s">
        <v>264</v>
      </c>
      <c r="F15" s="5"/>
      <c r="G15" s="6"/>
      <c r="H15" s="17"/>
      <c r="I15" s="17"/>
      <c r="J15" s="17">
        <v>45383</v>
      </c>
      <c r="K15" s="17">
        <v>45809</v>
      </c>
      <c r="L15" s="5" t="s">
        <v>260</v>
      </c>
      <c r="M15" s="5"/>
      <c r="P15" s="18"/>
      <c r="Q15" s="19"/>
      <c r="R15" s="19"/>
      <c r="S15" s="21"/>
      <c r="T15" s="22"/>
    </row>
    <row r="16" spans="2:64" outlineLevel="1" x14ac:dyDescent="0.25">
      <c r="B16" s="8" t="s">
        <v>265</v>
      </c>
      <c r="C16" s="5"/>
      <c r="D16" s="5"/>
      <c r="E16" s="5" t="s">
        <v>266</v>
      </c>
      <c r="F16" s="5"/>
      <c r="G16" s="6"/>
      <c r="H16" s="17"/>
      <c r="I16" s="17"/>
      <c r="J16" s="17">
        <v>45658</v>
      </c>
      <c r="K16" s="17">
        <v>46023</v>
      </c>
      <c r="L16" s="5" t="s">
        <v>260</v>
      </c>
      <c r="M16" s="5"/>
      <c r="S16" s="18"/>
      <c r="T16" s="19"/>
      <c r="U16" s="19"/>
      <c r="V16" s="20"/>
    </row>
    <row r="17" spans="2:27" outlineLevel="1" x14ac:dyDescent="0.25">
      <c r="B17" s="8" t="s">
        <v>267</v>
      </c>
      <c r="C17" s="5"/>
      <c r="D17" s="5"/>
      <c r="E17" s="5" t="s">
        <v>268</v>
      </c>
      <c r="F17" s="5"/>
      <c r="G17" s="6"/>
      <c r="H17" s="17"/>
      <c r="I17" s="17"/>
      <c r="J17" s="17">
        <v>45658</v>
      </c>
      <c r="K17" s="17">
        <v>46023</v>
      </c>
      <c r="L17" s="5" t="s">
        <v>260</v>
      </c>
      <c r="M17" s="5"/>
      <c r="S17" s="18"/>
      <c r="T17" s="19"/>
      <c r="U17" s="19"/>
      <c r="V17" s="20"/>
    </row>
    <row r="18" spans="2:27" x14ac:dyDescent="0.25">
      <c r="B18" s="8"/>
      <c r="C18" s="5"/>
      <c r="D18" s="5"/>
      <c r="E18" s="5"/>
      <c r="F18" s="5"/>
      <c r="G18" s="6"/>
      <c r="H18" s="17"/>
      <c r="I18" s="17"/>
      <c r="J18" s="17"/>
      <c r="K18" s="17"/>
      <c r="L18" s="5"/>
      <c r="M18" s="5"/>
    </row>
    <row r="19" spans="2:27" x14ac:dyDescent="0.25">
      <c r="B19" s="8">
        <v>1.3</v>
      </c>
      <c r="C19" s="5"/>
      <c r="D19" s="5" t="s">
        <v>269</v>
      </c>
      <c r="E19" s="5"/>
      <c r="F19" s="5"/>
      <c r="G19" s="6"/>
      <c r="H19" s="17"/>
      <c r="I19" s="17" t="s">
        <v>270</v>
      </c>
      <c r="J19" s="17">
        <v>45901</v>
      </c>
      <c r="K19" s="17">
        <v>46478</v>
      </c>
      <c r="L19" s="5" t="s">
        <v>271</v>
      </c>
      <c r="M19" s="5" t="s">
        <v>272</v>
      </c>
      <c r="V19" s="12"/>
      <c r="W19" s="13"/>
      <c r="X19" s="13"/>
      <c r="Y19" s="13"/>
      <c r="Z19" s="13"/>
      <c r="AA19" s="14"/>
    </row>
    <row r="20" spans="2:27" x14ac:dyDescent="0.25">
      <c r="B20" s="8" t="s">
        <v>273</v>
      </c>
      <c r="C20" s="5"/>
      <c r="D20" s="5"/>
      <c r="E20" s="5" t="s">
        <v>274</v>
      </c>
      <c r="F20" s="5"/>
      <c r="G20" s="6"/>
      <c r="H20" s="17"/>
      <c r="I20" s="17"/>
      <c r="J20" s="17"/>
      <c r="K20" s="17"/>
      <c r="L20" s="5"/>
      <c r="M20" s="5"/>
    </row>
    <row r="21" spans="2:27" x14ac:dyDescent="0.25">
      <c r="B21" s="8" t="s">
        <v>275</v>
      </c>
      <c r="C21" s="5"/>
      <c r="D21" s="5"/>
      <c r="E21" s="5" t="s">
        <v>276</v>
      </c>
      <c r="F21" s="5"/>
      <c r="G21" s="6"/>
      <c r="H21" s="17"/>
      <c r="I21" s="17"/>
      <c r="J21" s="17"/>
      <c r="K21" s="17"/>
      <c r="L21" s="5"/>
      <c r="M21" s="5"/>
    </row>
    <row r="22" spans="2:27" x14ac:dyDescent="0.25">
      <c r="B22" s="8" t="s">
        <v>277</v>
      </c>
      <c r="C22" s="5"/>
      <c r="D22" s="5"/>
      <c r="E22" s="5" t="s">
        <v>278</v>
      </c>
      <c r="F22" s="5"/>
      <c r="G22" s="6"/>
      <c r="H22" s="17"/>
      <c r="I22" s="17"/>
      <c r="J22" s="17"/>
      <c r="K22" s="17"/>
      <c r="L22" s="5"/>
      <c r="M22" s="5"/>
    </row>
    <row r="23" spans="2:27" x14ac:dyDescent="0.25">
      <c r="B23" s="8" t="s">
        <v>279</v>
      </c>
      <c r="C23" s="5"/>
      <c r="D23" s="5"/>
      <c r="E23" s="5" t="s">
        <v>33</v>
      </c>
      <c r="F23" s="5"/>
      <c r="G23" s="6"/>
      <c r="H23" s="17"/>
      <c r="I23" s="17"/>
      <c r="J23" s="17"/>
      <c r="K23" s="17"/>
      <c r="L23" s="5"/>
      <c r="M23" s="5"/>
    </row>
    <row r="24" spans="2:27" x14ac:dyDescent="0.25">
      <c r="B24" s="8"/>
      <c r="C24" s="5"/>
      <c r="D24" s="5"/>
      <c r="E24" s="5"/>
      <c r="F24" s="5"/>
      <c r="G24" s="6"/>
      <c r="H24" s="17"/>
      <c r="I24" s="17"/>
      <c r="J24" s="17"/>
      <c r="K24" s="17"/>
      <c r="L24" s="5"/>
      <c r="M24" s="5"/>
    </row>
    <row r="25" spans="2:27" x14ac:dyDescent="0.25">
      <c r="B25" s="8">
        <v>1.4</v>
      </c>
      <c r="C25" s="5"/>
      <c r="D25" s="5" t="s">
        <v>280</v>
      </c>
      <c r="E25" s="5"/>
      <c r="F25" s="5"/>
      <c r="G25" s="6"/>
      <c r="H25" s="17"/>
      <c r="I25" s="17"/>
      <c r="J25" s="17">
        <v>45658</v>
      </c>
      <c r="K25" s="17">
        <v>46387</v>
      </c>
      <c r="L25" s="5"/>
      <c r="M25" s="5"/>
    </row>
    <row r="26" spans="2:27" x14ac:dyDescent="0.25">
      <c r="B26" s="8"/>
      <c r="C26" s="5"/>
      <c r="D26" s="5"/>
      <c r="E26" s="5" t="s">
        <v>281</v>
      </c>
      <c r="F26" s="5"/>
      <c r="G26" s="6"/>
      <c r="H26" s="17"/>
      <c r="I26" s="17"/>
      <c r="J26" s="17"/>
      <c r="K26" s="17"/>
      <c r="L26" s="5"/>
      <c r="M26" s="34" t="s">
        <v>282</v>
      </c>
    </row>
    <row r="27" spans="2:27" x14ac:dyDescent="0.25">
      <c r="B27" s="8"/>
      <c r="C27" s="5"/>
      <c r="D27" s="5"/>
      <c r="E27" s="5" t="s">
        <v>283</v>
      </c>
      <c r="F27" s="5"/>
      <c r="G27" s="6"/>
      <c r="H27" s="17"/>
      <c r="I27" s="17"/>
      <c r="J27" s="17"/>
      <c r="K27" s="17"/>
      <c r="L27" s="5"/>
      <c r="M27" s="5" t="s">
        <v>284</v>
      </c>
    </row>
    <row r="28" spans="2:27" x14ac:dyDescent="0.25">
      <c r="B28" s="8"/>
      <c r="C28" s="5"/>
      <c r="D28" s="5"/>
      <c r="E28" s="5" t="s">
        <v>285</v>
      </c>
      <c r="F28" s="5"/>
      <c r="G28" s="6">
        <v>24</v>
      </c>
      <c r="H28" s="17"/>
      <c r="I28" s="17"/>
      <c r="J28" s="17"/>
      <c r="K28" s="17"/>
      <c r="L28" s="5"/>
      <c r="M28" s="5" t="s">
        <v>286</v>
      </c>
    </row>
    <row r="29" spans="2:27" x14ac:dyDescent="0.25">
      <c r="B29" s="8"/>
      <c r="C29" s="5"/>
      <c r="D29" s="5"/>
      <c r="E29" s="5"/>
      <c r="F29" s="5"/>
      <c r="G29" s="6"/>
      <c r="H29" s="17"/>
      <c r="I29" s="17"/>
      <c r="J29" s="17"/>
      <c r="K29" s="17"/>
      <c r="L29" s="5"/>
      <c r="M29" s="5"/>
    </row>
    <row r="30" spans="2:27" x14ac:dyDescent="0.25">
      <c r="B30" s="8"/>
      <c r="C30" s="5"/>
      <c r="D30" s="5"/>
      <c r="E30" s="5" t="s">
        <v>287</v>
      </c>
      <c r="F30" s="5"/>
      <c r="G30" s="6"/>
      <c r="H30" s="17"/>
      <c r="I30" s="17"/>
      <c r="J30" s="17"/>
      <c r="K30" s="17"/>
      <c r="L30" s="5"/>
      <c r="M30" s="5"/>
    </row>
    <row r="31" spans="2:27" x14ac:dyDescent="0.25">
      <c r="B31" s="8"/>
      <c r="C31" s="5"/>
      <c r="D31" s="5"/>
      <c r="E31" s="5"/>
      <c r="F31" s="5"/>
      <c r="G31" s="6"/>
      <c r="H31" s="17"/>
      <c r="I31" s="17"/>
      <c r="J31" s="17"/>
      <c r="K31" s="17"/>
      <c r="L31" s="5"/>
      <c r="M31" s="5"/>
    </row>
    <row r="32" spans="2:27" x14ac:dyDescent="0.25">
      <c r="B32" s="8"/>
      <c r="C32" s="5"/>
      <c r="D32" s="5"/>
      <c r="E32" s="5"/>
      <c r="F32" s="5"/>
      <c r="G32" s="6"/>
      <c r="H32" s="17"/>
      <c r="I32" s="17"/>
      <c r="J32" s="17"/>
      <c r="K32" s="17"/>
      <c r="L32" s="5"/>
      <c r="M32" s="5"/>
    </row>
    <row r="33" spans="2:27" x14ac:dyDescent="0.25">
      <c r="B33" s="8"/>
      <c r="C33" s="5"/>
      <c r="D33" s="5"/>
      <c r="E33" s="5"/>
      <c r="F33" s="5"/>
      <c r="G33" s="6"/>
      <c r="H33" s="17"/>
      <c r="I33" s="17"/>
      <c r="J33" s="17"/>
      <c r="K33" s="17"/>
      <c r="L33" s="5"/>
      <c r="M33" s="5"/>
    </row>
    <row r="34" spans="2:27" x14ac:dyDescent="0.25">
      <c r="B34" s="8">
        <v>2</v>
      </c>
      <c r="C34" s="7" t="s">
        <v>40</v>
      </c>
      <c r="D34" s="5"/>
      <c r="E34" s="5"/>
      <c r="F34" s="5"/>
      <c r="G34" s="6"/>
      <c r="H34" s="17"/>
      <c r="I34" s="17"/>
      <c r="J34" s="17"/>
      <c r="K34" s="17"/>
      <c r="L34" s="5"/>
      <c r="M34" s="5"/>
    </row>
    <row r="35" spans="2:27" x14ac:dyDescent="0.25">
      <c r="B35" s="8">
        <v>2.1</v>
      </c>
      <c r="C35" s="5"/>
      <c r="D35" s="5" t="s">
        <v>288</v>
      </c>
      <c r="E35" s="5"/>
      <c r="F35" s="5">
        <f>K35-J35</f>
        <v>275</v>
      </c>
      <c r="G35" s="6">
        <f>ROUND((K35-J35)/30,0)</f>
        <v>9</v>
      </c>
      <c r="H35" s="17" t="s">
        <v>289</v>
      </c>
      <c r="I35" s="17"/>
      <c r="J35" s="17">
        <v>45383</v>
      </c>
      <c r="K35" s="17">
        <v>45658</v>
      </c>
      <c r="L35" s="5"/>
      <c r="M35" s="5"/>
      <c r="P35" s="12"/>
      <c r="Q35" s="15"/>
      <c r="R35" s="16"/>
    </row>
    <row r="36" spans="2:27" x14ac:dyDescent="0.25">
      <c r="B36" s="8">
        <v>2.2000000000000002</v>
      </c>
      <c r="C36" s="5"/>
      <c r="D36" s="5" t="s">
        <v>290</v>
      </c>
      <c r="E36" s="5"/>
      <c r="F36" s="5">
        <f t="shared" ref="F36:F37" si="0">K36-J36</f>
        <v>942</v>
      </c>
      <c r="G36" s="6">
        <f>ROUND((K36-J36)/30,0)</f>
        <v>31</v>
      </c>
      <c r="H36" s="17" t="s">
        <v>289</v>
      </c>
      <c r="I36" s="17"/>
      <c r="J36" s="17">
        <v>45536</v>
      </c>
      <c r="K36" s="17">
        <v>46478</v>
      </c>
      <c r="L36" s="5" t="s">
        <v>291</v>
      </c>
      <c r="M36" s="8" t="s">
        <v>292</v>
      </c>
      <c r="N36" t="s">
        <v>252</v>
      </c>
      <c r="Q36" s="12"/>
      <c r="R36" s="13"/>
      <c r="S36" s="13"/>
      <c r="T36" s="13"/>
      <c r="U36" s="13"/>
      <c r="V36" s="13"/>
      <c r="W36" s="13"/>
      <c r="X36" s="13"/>
      <c r="Y36" s="13"/>
      <c r="Z36" s="13"/>
      <c r="AA36" s="14"/>
    </row>
    <row r="37" spans="2:27" x14ac:dyDescent="0.25">
      <c r="B37" s="8">
        <v>2.2999999999999998</v>
      </c>
      <c r="C37" s="5"/>
      <c r="D37" s="5" t="s">
        <v>293</v>
      </c>
      <c r="E37" s="5"/>
      <c r="F37" s="5">
        <f t="shared" si="0"/>
        <v>365</v>
      </c>
      <c r="G37" s="6"/>
      <c r="H37" s="17" t="s">
        <v>289</v>
      </c>
      <c r="I37" s="17"/>
      <c r="J37" s="17">
        <v>45839</v>
      </c>
      <c r="K37" s="17">
        <v>46204</v>
      </c>
      <c r="L37" s="5"/>
      <c r="M37" s="5"/>
      <c r="U37" s="12"/>
      <c r="V37" s="13"/>
      <c r="W37" s="13"/>
      <c r="X37" s="14"/>
    </row>
    <row r="38" spans="2:27" outlineLevel="1" x14ac:dyDescent="0.25">
      <c r="B38" s="8" t="s">
        <v>294</v>
      </c>
      <c r="C38" s="5"/>
      <c r="D38" s="5"/>
      <c r="E38" s="8" t="s">
        <v>295</v>
      </c>
      <c r="F38" s="8"/>
      <c r="G38" s="6"/>
      <c r="H38" s="17"/>
      <c r="I38" s="17"/>
      <c r="J38" s="17"/>
      <c r="K38" s="17"/>
      <c r="L38" s="5"/>
      <c r="M38" s="5"/>
    </row>
    <row r="39" spans="2:27" outlineLevel="1" x14ac:dyDescent="0.25">
      <c r="B39" s="8" t="s">
        <v>296</v>
      </c>
      <c r="C39" s="5"/>
      <c r="D39" s="5"/>
      <c r="E39" s="8" t="s">
        <v>297</v>
      </c>
      <c r="F39" s="8"/>
      <c r="G39" s="6"/>
      <c r="H39" s="17"/>
      <c r="I39" s="17"/>
      <c r="J39" s="17"/>
      <c r="K39" s="17"/>
      <c r="L39" s="5"/>
      <c r="M39" s="5"/>
    </row>
    <row r="40" spans="2:27" outlineLevel="1" x14ac:dyDescent="0.25">
      <c r="B40" s="8" t="s">
        <v>298</v>
      </c>
      <c r="C40" s="5"/>
      <c r="D40" s="5"/>
      <c r="E40" s="8" t="s">
        <v>299</v>
      </c>
      <c r="F40" s="8"/>
      <c r="G40" s="6"/>
      <c r="H40" s="17"/>
      <c r="I40" s="17"/>
      <c r="J40" s="17"/>
      <c r="K40" s="17"/>
      <c r="L40" s="5"/>
      <c r="M40" s="5"/>
    </row>
    <row r="41" spans="2:27" outlineLevel="1" x14ac:dyDescent="0.25">
      <c r="B41" s="8" t="s">
        <v>300</v>
      </c>
      <c r="C41" s="5"/>
      <c r="D41" s="5"/>
      <c r="E41" s="8" t="s">
        <v>301</v>
      </c>
      <c r="F41" s="8"/>
      <c r="G41" s="6"/>
      <c r="H41" s="17"/>
      <c r="I41" s="17"/>
      <c r="J41" s="17"/>
      <c r="K41" s="17"/>
      <c r="L41" s="5"/>
      <c r="M41" s="5"/>
    </row>
    <row r="42" spans="2:27" x14ac:dyDescent="0.25">
      <c r="B42" s="8"/>
      <c r="C42" s="5"/>
      <c r="D42" s="5"/>
      <c r="E42" s="5"/>
      <c r="F42" s="5"/>
      <c r="G42" s="6"/>
      <c r="H42" s="17"/>
      <c r="I42" s="17"/>
      <c r="J42" s="17"/>
      <c r="K42" s="17"/>
      <c r="L42" s="5"/>
      <c r="M42" s="5"/>
    </row>
    <row r="43" spans="2:27" x14ac:dyDescent="0.25">
      <c r="B43" s="8"/>
      <c r="C43" s="5"/>
      <c r="D43" s="5"/>
      <c r="E43" s="5"/>
      <c r="F43" s="5"/>
      <c r="G43" s="6"/>
      <c r="H43" s="17"/>
      <c r="I43" s="17"/>
      <c r="J43" s="17"/>
      <c r="K43" s="17"/>
      <c r="L43" s="5"/>
      <c r="M43" s="5"/>
    </row>
    <row r="44" spans="2:27" x14ac:dyDescent="0.25">
      <c r="B44" s="8">
        <v>3</v>
      </c>
      <c r="C44" s="7" t="s">
        <v>302</v>
      </c>
      <c r="D44" s="5"/>
      <c r="E44" s="5"/>
      <c r="F44" s="5"/>
      <c r="G44" s="6"/>
      <c r="H44" s="17"/>
      <c r="I44" s="17"/>
      <c r="J44" s="17"/>
      <c r="K44" s="17"/>
      <c r="L44" s="5"/>
      <c r="M44" s="5"/>
    </row>
    <row r="45" spans="2:27" x14ac:dyDescent="0.25">
      <c r="B45" s="8">
        <v>3.1</v>
      </c>
      <c r="C45" s="5"/>
      <c r="D45" s="5" t="s">
        <v>303</v>
      </c>
      <c r="E45" s="5"/>
      <c r="F45" s="5"/>
      <c r="G45" s="6"/>
      <c r="H45" s="17"/>
      <c r="I45" s="17"/>
      <c r="J45" s="17" t="s">
        <v>228</v>
      </c>
      <c r="K45" s="17"/>
      <c r="L45" s="11" t="s">
        <v>304</v>
      </c>
      <c r="M45" s="5"/>
    </row>
    <row r="46" spans="2:27" x14ac:dyDescent="0.25">
      <c r="B46" s="8">
        <v>3.2</v>
      </c>
      <c r="C46" s="5"/>
      <c r="D46" s="5" t="s">
        <v>305</v>
      </c>
      <c r="E46" s="5"/>
      <c r="F46" s="5"/>
      <c r="G46" s="6"/>
      <c r="H46" s="17"/>
      <c r="I46" s="17"/>
      <c r="J46" s="17"/>
      <c r="K46" s="17"/>
      <c r="L46" s="5"/>
      <c r="M46" s="5"/>
    </row>
    <row r="47" spans="2:27" x14ac:dyDescent="0.25">
      <c r="B47" s="8">
        <v>3.3</v>
      </c>
      <c r="C47" s="5"/>
      <c r="D47" s="5" t="s">
        <v>306</v>
      </c>
      <c r="E47" s="5"/>
      <c r="F47" s="5"/>
      <c r="G47" s="6"/>
      <c r="H47" s="17"/>
      <c r="I47" s="17"/>
      <c r="J47" s="17" t="s">
        <v>233</v>
      </c>
      <c r="K47" s="17"/>
      <c r="L47" s="5"/>
      <c r="M47" s="5"/>
    </row>
    <row r="48" spans="2:27" x14ac:dyDescent="0.25">
      <c r="B48" s="8"/>
      <c r="C48" s="5"/>
      <c r="D48" s="5"/>
      <c r="E48" s="5"/>
      <c r="F48" s="5"/>
      <c r="G48" s="6"/>
      <c r="H48" s="17"/>
      <c r="I48" s="17"/>
      <c r="J48" s="17"/>
      <c r="K48" s="17"/>
      <c r="L48" s="5"/>
      <c r="M48" s="5"/>
    </row>
    <row r="49" spans="2:13" x14ac:dyDescent="0.25">
      <c r="B49" s="8">
        <v>4</v>
      </c>
      <c r="C49" s="7" t="s">
        <v>307</v>
      </c>
      <c r="D49" s="5"/>
      <c r="E49" s="5"/>
      <c r="F49" s="5"/>
      <c r="G49" s="6"/>
      <c r="H49" s="17" t="s">
        <v>308</v>
      </c>
      <c r="I49" s="17" t="s">
        <v>309</v>
      </c>
      <c r="J49" s="17"/>
      <c r="K49" s="17"/>
      <c r="L49" s="5"/>
      <c r="M49" s="5"/>
    </row>
    <row r="50" spans="2:13" x14ac:dyDescent="0.25">
      <c r="B50" s="8"/>
      <c r="C50" s="5"/>
      <c r="D50" s="5"/>
      <c r="E50" s="5"/>
      <c r="F50" s="5"/>
      <c r="G50" s="6"/>
      <c r="H50" s="17"/>
      <c r="I50" s="17"/>
      <c r="J50" s="17"/>
      <c r="K50" s="17"/>
      <c r="L50" s="5"/>
      <c r="M50" s="5"/>
    </row>
    <row r="51" spans="2:13" x14ac:dyDescent="0.25">
      <c r="B51" s="8"/>
      <c r="C51" s="7"/>
      <c r="D51" s="5"/>
      <c r="E51" s="5"/>
      <c r="F51" s="5"/>
      <c r="G51" s="6"/>
      <c r="H51" s="17"/>
      <c r="I51" s="17"/>
      <c r="J51" s="17"/>
      <c r="K51" s="17"/>
      <c r="L51" s="5"/>
      <c r="M51" s="5"/>
    </row>
    <row r="52" spans="2:13" x14ac:dyDescent="0.25">
      <c r="B52" s="8">
        <v>5</v>
      </c>
      <c r="C52" s="7" t="s">
        <v>310</v>
      </c>
      <c r="D52" s="5"/>
      <c r="E52" s="5"/>
      <c r="F52" s="5"/>
      <c r="G52" s="6"/>
      <c r="H52" s="17" t="s">
        <v>311</v>
      </c>
      <c r="I52" s="17"/>
      <c r="J52" s="17"/>
      <c r="K52" s="17"/>
      <c r="L52" s="5"/>
      <c r="M52" s="5"/>
    </row>
    <row r="53" spans="2:13" x14ac:dyDescent="0.25">
      <c r="B53" s="8"/>
      <c r="C53" s="5"/>
      <c r="D53" s="5"/>
      <c r="E53" s="5"/>
      <c r="F53" s="5"/>
      <c r="G53" s="6"/>
      <c r="H53" s="17"/>
      <c r="I53" s="17"/>
      <c r="J53" s="17"/>
      <c r="K53" s="17"/>
      <c r="L53" s="5"/>
      <c r="M53" s="5"/>
    </row>
    <row r="54" spans="2:13" x14ac:dyDescent="0.25">
      <c r="B54" s="8"/>
      <c r="C54" s="5"/>
      <c r="D54" s="5"/>
      <c r="E54" s="5"/>
      <c r="F54" s="5"/>
      <c r="G54" s="6"/>
      <c r="H54" s="17"/>
      <c r="I54" s="17"/>
      <c r="J54" s="17"/>
      <c r="K54" s="17"/>
      <c r="L54" s="5"/>
      <c r="M54" s="5"/>
    </row>
    <row r="55" spans="2:13" x14ac:dyDescent="0.25">
      <c r="B55" s="8"/>
      <c r="C55" s="5"/>
      <c r="D55" s="5"/>
      <c r="E55" s="5"/>
      <c r="F55" s="5"/>
      <c r="G55" s="6"/>
      <c r="H55" s="17"/>
      <c r="I55" s="17"/>
      <c r="J55" s="17"/>
      <c r="K55" s="17"/>
      <c r="L55" s="5"/>
      <c r="M55" s="5"/>
    </row>
    <row r="56" spans="2:13" x14ac:dyDescent="0.25">
      <c r="B56" s="8"/>
      <c r="C56" s="5"/>
      <c r="D56" s="5"/>
      <c r="E56" s="5"/>
      <c r="F56" s="5"/>
      <c r="G56" s="6"/>
      <c r="H56" s="17"/>
      <c r="I56" s="17"/>
      <c r="J56" s="17"/>
      <c r="K56" s="17"/>
      <c r="L56" s="5"/>
      <c r="M56" s="5"/>
    </row>
    <row r="57" spans="2:13" x14ac:dyDescent="0.25">
      <c r="B57" s="8">
        <v>6</v>
      </c>
      <c r="C57" s="7" t="s">
        <v>22</v>
      </c>
      <c r="D57" s="5"/>
      <c r="E57" s="5"/>
      <c r="F57" s="5"/>
      <c r="G57" s="6"/>
      <c r="H57" s="17"/>
      <c r="I57" s="17"/>
      <c r="J57" s="17"/>
      <c r="K57" s="17"/>
      <c r="L57" s="5"/>
      <c r="M57" s="5"/>
    </row>
    <row r="58" spans="2:13" x14ac:dyDescent="0.25">
      <c r="B58" s="8"/>
      <c r="C58" s="7"/>
      <c r="D58" s="5" t="s">
        <v>312</v>
      </c>
      <c r="E58" s="5"/>
      <c r="F58" s="5"/>
      <c r="G58" s="6"/>
      <c r="H58" s="17"/>
      <c r="I58" s="17"/>
      <c r="J58" s="17"/>
      <c r="K58" s="17"/>
      <c r="L58" s="5"/>
      <c r="M58" s="5"/>
    </row>
    <row r="59" spans="2:13" x14ac:dyDescent="0.25">
      <c r="B59" s="8"/>
      <c r="C59" s="7"/>
      <c r="D59" s="5" t="s">
        <v>313</v>
      </c>
      <c r="E59" s="5"/>
      <c r="F59" s="5"/>
      <c r="G59" s="6"/>
      <c r="H59" s="17"/>
      <c r="I59" s="17"/>
      <c r="J59" s="17"/>
      <c r="K59" s="17"/>
      <c r="L59" s="5"/>
      <c r="M59" s="5"/>
    </row>
    <row r="60" spans="2:13" x14ac:dyDescent="0.25">
      <c r="B60" s="8"/>
      <c r="C60" s="7"/>
      <c r="D60" s="5" t="s">
        <v>25</v>
      </c>
      <c r="E60" s="5"/>
      <c r="F60" s="5"/>
      <c r="G60" s="6"/>
      <c r="H60" s="17"/>
      <c r="I60" s="17"/>
      <c r="J60" s="17">
        <v>47484</v>
      </c>
      <c r="K60" s="17">
        <v>12784</v>
      </c>
      <c r="L60" s="5"/>
      <c r="M60" s="5"/>
    </row>
    <row r="61" spans="2:13" x14ac:dyDescent="0.25">
      <c r="B61" s="8"/>
      <c r="C61" s="5"/>
      <c r="D61" s="5"/>
      <c r="E61" s="5"/>
      <c r="F61" s="5"/>
      <c r="G61" s="6"/>
      <c r="H61" s="17"/>
      <c r="I61" s="17"/>
      <c r="J61" s="17"/>
      <c r="K61" s="17"/>
      <c r="L61" s="5"/>
      <c r="M61" s="5"/>
    </row>
    <row r="62" spans="2:13" x14ac:dyDescent="0.25">
      <c r="B62" s="8"/>
      <c r="C62" s="5"/>
      <c r="D62" s="5"/>
      <c r="E62" s="5"/>
      <c r="F62" s="5"/>
      <c r="G62" s="6"/>
      <c r="H62" s="17"/>
      <c r="I62" s="17"/>
      <c r="J62" s="17"/>
      <c r="K62" s="17"/>
      <c r="L62" s="5"/>
      <c r="M62" s="5"/>
    </row>
    <row r="63" spans="2:13" x14ac:dyDescent="0.25">
      <c r="B63" s="8">
        <v>7</v>
      </c>
      <c r="C63" s="7" t="s">
        <v>28</v>
      </c>
      <c r="D63" s="5"/>
      <c r="E63" s="5"/>
      <c r="F63" s="5"/>
      <c r="G63" s="6"/>
      <c r="H63" s="17"/>
      <c r="I63" s="17"/>
      <c r="J63" s="17"/>
      <c r="K63" s="17"/>
      <c r="L63" s="5"/>
      <c r="M63" s="5"/>
    </row>
    <row r="64" spans="2:13" x14ac:dyDescent="0.25">
      <c r="B64" s="8"/>
      <c r="C64" s="7"/>
      <c r="D64" s="5" t="s">
        <v>312</v>
      </c>
      <c r="E64" s="5"/>
      <c r="F64" s="5"/>
      <c r="G64" s="6"/>
      <c r="H64" s="17"/>
      <c r="I64" s="17"/>
      <c r="J64" s="17"/>
      <c r="K64" s="17"/>
      <c r="L64" s="5"/>
      <c r="M64" s="5"/>
    </row>
    <row r="65" spans="2:30" x14ac:dyDescent="0.25">
      <c r="B65" s="8"/>
      <c r="C65" s="7"/>
      <c r="D65" s="5" t="s">
        <v>313</v>
      </c>
      <c r="E65" s="5"/>
      <c r="F65" s="5"/>
      <c r="G65" s="6"/>
      <c r="H65" s="17"/>
      <c r="I65" s="17"/>
      <c r="J65" s="17"/>
      <c r="K65" s="17"/>
      <c r="L65" s="5"/>
      <c r="M65" s="5"/>
    </row>
    <row r="66" spans="2:30" x14ac:dyDescent="0.25">
      <c r="B66" s="8"/>
      <c r="C66" s="7"/>
      <c r="D66" s="5" t="s">
        <v>25</v>
      </c>
      <c r="E66" s="5"/>
      <c r="F66" s="5"/>
      <c r="G66" s="6"/>
      <c r="H66" s="17"/>
      <c r="I66" s="17"/>
      <c r="J66" s="17"/>
      <c r="K66" s="17"/>
      <c r="L66" s="5"/>
      <c r="M66" s="5"/>
    </row>
    <row r="67" spans="2:30" x14ac:dyDescent="0.25">
      <c r="B67" s="8"/>
      <c r="C67" s="5"/>
      <c r="D67" s="5"/>
      <c r="E67" s="5"/>
      <c r="F67" s="5"/>
      <c r="G67" s="6"/>
      <c r="H67" s="17"/>
      <c r="I67" s="17"/>
      <c r="J67" s="17"/>
      <c r="K67" s="17"/>
      <c r="L67" s="5"/>
      <c r="M67" s="5"/>
    </row>
    <row r="68" spans="2:30" x14ac:dyDescent="0.25">
      <c r="B68" s="8"/>
      <c r="C68" s="5"/>
      <c r="D68" s="5"/>
      <c r="E68" s="5"/>
      <c r="F68" s="5"/>
      <c r="G68" s="6"/>
      <c r="H68" s="17"/>
      <c r="I68" s="17"/>
      <c r="J68" s="17"/>
      <c r="K68" s="17"/>
      <c r="L68" s="5"/>
      <c r="M68" s="5"/>
    </row>
    <row r="69" spans="2:30" x14ac:dyDescent="0.25">
      <c r="B69" s="8"/>
      <c r="C69" s="5"/>
      <c r="D69" s="5"/>
      <c r="E69" s="5"/>
      <c r="F69" s="5"/>
      <c r="G69" s="6"/>
      <c r="H69" s="17"/>
      <c r="I69" s="17"/>
      <c r="J69" s="17"/>
      <c r="K69" s="17"/>
      <c r="L69" s="5"/>
      <c r="M69" s="5"/>
    </row>
    <row r="70" spans="2:30" x14ac:dyDescent="0.25">
      <c r="B70" s="8"/>
      <c r="C70" s="5"/>
      <c r="D70" s="5"/>
      <c r="E70" s="5"/>
      <c r="F70" s="5"/>
      <c r="G70" s="6"/>
      <c r="H70" s="17"/>
      <c r="I70" s="17"/>
      <c r="J70" s="17"/>
      <c r="K70" s="17"/>
      <c r="L70" s="5"/>
      <c r="M70" s="5"/>
    </row>
    <row r="71" spans="2:30" x14ac:dyDescent="0.25">
      <c r="B71" s="8"/>
      <c r="C71" s="5"/>
      <c r="D71" s="5"/>
      <c r="E71" s="5"/>
      <c r="F71" s="5"/>
      <c r="G71" s="6"/>
      <c r="H71" s="17"/>
      <c r="I71" s="17"/>
      <c r="J71" s="17"/>
      <c r="K71" s="17"/>
      <c r="L71" s="5"/>
      <c r="M71" s="5"/>
    </row>
    <row r="72" spans="2:30" x14ac:dyDescent="0.25">
      <c r="B72" s="8"/>
      <c r="C72" s="5"/>
      <c r="D72" s="5"/>
      <c r="E72" s="5"/>
      <c r="F72" s="5"/>
      <c r="G72" s="6"/>
      <c r="H72" s="17"/>
      <c r="I72" s="17"/>
      <c r="J72" s="17"/>
      <c r="K72" s="17"/>
      <c r="L72" s="5"/>
      <c r="M72" s="5"/>
    </row>
    <row r="73" spans="2:30" x14ac:dyDescent="0.25">
      <c r="B73" s="8"/>
      <c r="C73" s="5"/>
      <c r="D73" s="5"/>
      <c r="E73" s="5"/>
      <c r="F73" s="5"/>
      <c r="G73" s="6"/>
      <c r="H73" s="17"/>
      <c r="I73" s="17"/>
      <c r="J73" s="17"/>
      <c r="K73" s="17"/>
      <c r="L73" s="5"/>
      <c r="M73" s="5"/>
    </row>
    <row r="74" spans="2:30" ht="9" customHeight="1" x14ac:dyDescent="0.25">
      <c r="B74" s="30"/>
      <c r="C74" s="9"/>
      <c r="D74" s="9"/>
      <c r="E74" s="9"/>
      <c r="F74" s="9"/>
      <c r="G74" s="10"/>
      <c r="H74" s="9"/>
      <c r="I74" s="9"/>
      <c r="J74" s="9"/>
      <c r="K74" s="9"/>
      <c r="L74" s="9"/>
      <c r="M74" s="9"/>
      <c r="N74" s="31"/>
      <c r="O74" s="31"/>
      <c r="P74" s="31"/>
      <c r="Q74" s="31"/>
      <c r="R74" s="31"/>
      <c r="S74" s="31"/>
      <c r="T74" s="31"/>
      <c r="U74" s="31"/>
      <c r="V74" s="31"/>
      <c r="W74" s="31"/>
      <c r="X74" s="31"/>
      <c r="Y74" s="31"/>
      <c r="Z74" s="31"/>
      <c r="AA74" s="31"/>
      <c r="AB74" s="31"/>
      <c r="AC74" s="31"/>
      <c r="AD74" s="31"/>
    </row>
    <row r="75" spans="2:30" x14ac:dyDescent="0.25">
      <c r="C75" s="5"/>
      <c r="D75" s="5"/>
      <c r="E75" s="5"/>
      <c r="F75" s="5"/>
      <c r="G75" s="6"/>
      <c r="H75" s="5"/>
      <c r="I75" s="5"/>
      <c r="J75" s="5"/>
      <c r="K75" s="5"/>
      <c r="L75" s="5"/>
      <c r="M75" s="5"/>
    </row>
  </sheetData>
  <phoneticPr fontId="17"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Annual Level for Board</vt:lpstr>
      <vt:lpstr>Biennium Level</vt:lpstr>
      <vt:lpstr>Decade Level</vt:lpstr>
      <vt:lpstr>Staffing Phase-in</vt:lpstr>
      <vt:lpstr>Hard Cost</vt:lpstr>
      <vt:lpstr>Soft Cost</vt:lpstr>
      <vt:lpstr>Total Cash Flow</vt:lpstr>
      <vt:lpstr>Export for Budget (inflated)</vt:lpstr>
      <vt:lpstr>Capital Scenario Comparison</vt:lpstr>
      <vt:lpstr>Quarter Level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 Baker</dc:creator>
  <cp:keywords/>
  <dc:description/>
  <cp:lastModifiedBy>James Amspacher</cp:lastModifiedBy>
  <cp:revision/>
  <dcterms:created xsi:type="dcterms:W3CDTF">2024-04-02T20:14:59Z</dcterms:created>
  <dcterms:modified xsi:type="dcterms:W3CDTF">2024-08-30T16:22:49Z</dcterms:modified>
  <cp:category/>
  <cp:contentStatus/>
</cp:coreProperties>
</file>